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2. Sur" sheetId="26" r:id="rId3"/>
    <sheet name="3. Arequipa" sheetId="18" r:id="rId4"/>
    <sheet name="4. Cusco" sheetId="19" r:id="rId5"/>
    <sheet name="5. Madre de Dios" sheetId="20" r:id="rId6"/>
    <sheet name="6. Moquegua" sheetId="21" r:id="rId7"/>
    <sheet name="7. Puno" sheetId="27" r:id="rId8"/>
    <sheet name="8. Tacna" sheetId="2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 localSheetId="7">#REF!</definedName>
    <definedName name="d" localSheetId="8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7">#REF!</definedName>
    <definedName name="GAdmin" localSheetId="8">#REF!</definedName>
    <definedName name="GAdmin">#REF!</definedName>
    <definedName name="Indic.Propuestos" localSheetId="7">'[4]Ctas-Ind (1)'!#REF!</definedName>
    <definedName name="Indic.Propuestos" localSheetId="8">'[4]Ctas-Ind (1)'!#REF!</definedName>
    <definedName name="Indic.Propuestos">'[4]Ctas-Ind (1)'!#REF!</definedName>
    <definedName name="INDICE" localSheetId="7">[5]!INDICE</definedName>
    <definedName name="INDICE" localSheetId="8">[5]!INDICE</definedName>
    <definedName name="INDICE">[5]!INDICE</definedName>
    <definedName name="IngresF" localSheetId="7">#REF!</definedName>
    <definedName name="IngresF" localSheetId="8">#REF!</definedName>
    <definedName name="IngresF">#REF!</definedName>
    <definedName name="MFinanc" localSheetId="7">#REF!</definedName>
    <definedName name="MFinanc" localSheetId="8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7">#REF!</definedName>
    <definedName name="Utilid" localSheetId="8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C83" i="26" l="1"/>
  <c r="E73" i="26"/>
  <c r="C65" i="26" s="1"/>
  <c r="E72" i="26"/>
  <c r="E71" i="26"/>
  <c r="C8" i="26"/>
  <c r="I4" i="26"/>
  <c r="J72" i="26"/>
  <c r="J73" i="26"/>
  <c r="J74" i="26"/>
  <c r="J71" i="26"/>
  <c r="H72" i="26"/>
  <c r="H73" i="26"/>
  <c r="H74" i="26"/>
  <c r="H71" i="26"/>
  <c r="K54" i="26"/>
  <c r="K55" i="26"/>
  <c r="K53" i="26"/>
  <c r="J54" i="26"/>
  <c r="J55" i="26"/>
  <c r="J53" i="26"/>
  <c r="H54" i="26"/>
  <c r="H55" i="26"/>
  <c r="G55" i="26"/>
  <c r="G54" i="26"/>
  <c r="H53" i="26"/>
  <c r="G53" i="26"/>
  <c r="J30" i="26"/>
  <c r="I30" i="26"/>
  <c r="J33" i="26"/>
  <c r="I33" i="26"/>
  <c r="H33" i="26"/>
  <c r="J32" i="26"/>
  <c r="I32" i="26"/>
  <c r="H32" i="26"/>
  <c r="J31" i="26"/>
  <c r="I31" i="26"/>
  <c r="H31" i="26"/>
  <c r="H30" i="26"/>
  <c r="C199" i="28"/>
  <c r="C199" i="27"/>
  <c r="C199" i="21"/>
  <c r="C199" i="20"/>
  <c r="C199" i="19"/>
  <c r="C182" i="28"/>
  <c r="C182" i="27"/>
  <c r="C182" i="21"/>
  <c r="C182" i="20"/>
  <c r="C182" i="19"/>
  <c r="C169" i="28"/>
  <c r="C169" i="27"/>
  <c r="C169" i="21"/>
  <c r="C169" i="20"/>
  <c r="C169" i="19"/>
  <c r="C150" i="28"/>
  <c r="C150" i="27"/>
  <c r="C150" i="21"/>
  <c r="C150" i="20"/>
  <c r="C150" i="19"/>
  <c r="C133" i="28"/>
  <c r="C133" i="27"/>
  <c r="C133" i="21"/>
  <c r="C133" i="20"/>
  <c r="C133" i="19"/>
  <c r="C120" i="28"/>
  <c r="C120" i="27"/>
  <c r="C120" i="21"/>
  <c r="C120" i="20"/>
  <c r="C120" i="19"/>
  <c r="C101" i="28"/>
  <c r="C101" i="27"/>
  <c r="C101" i="21"/>
  <c r="C101" i="20"/>
  <c r="C101" i="19"/>
  <c r="C199" i="18"/>
  <c r="C150" i="18"/>
  <c r="C101" i="18"/>
  <c r="C84" i="28"/>
  <c r="C84" i="27"/>
  <c r="C84" i="21"/>
  <c r="C84" i="20"/>
  <c r="C84" i="19"/>
  <c r="C182" i="18"/>
  <c r="C133" i="18"/>
  <c r="C84" i="18"/>
  <c r="C71" i="28"/>
  <c r="C71" i="27"/>
  <c r="C71" i="21"/>
  <c r="C71" i="20"/>
  <c r="C71" i="19"/>
  <c r="C169" i="18"/>
  <c r="C120" i="18"/>
  <c r="C71" i="18"/>
  <c r="C52" i="28"/>
  <c r="C52" i="27"/>
  <c r="C52" i="21"/>
  <c r="C52" i="20"/>
  <c r="C52" i="19"/>
  <c r="C52" i="18"/>
  <c r="C35" i="28"/>
  <c r="C35" i="27"/>
  <c r="C35" i="21"/>
  <c r="C35" i="20"/>
  <c r="C35" i="19"/>
  <c r="C35" i="18"/>
  <c r="C22" i="28"/>
  <c r="C22" i="27"/>
  <c r="C22" i="21"/>
  <c r="C22" i="20"/>
  <c r="C22" i="19"/>
  <c r="E30" i="28"/>
  <c r="E29" i="28"/>
  <c r="E28" i="28"/>
  <c r="E30" i="27"/>
  <c r="E29" i="27"/>
  <c r="E28" i="27"/>
  <c r="E30" i="21"/>
  <c r="E29" i="21"/>
  <c r="E28" i="21"/>
  <c r="E30" i="20"/>
  <c r="E29" i="20"/>
  <c r="E28" i="20"/>
  <c r="E30" i="19"/>
  <c r="E29" i="19"/>
  <c r="E28" i="19"/>
  <c r="C22" i="18"/>
  <c r="E30" i="18"/>
  <c r="E29" i="18"/>
  <c r="E28" i="18"/>
  <c r="C9" i="28"/>
  <c r="C9" i="27"/>
  <c r="C9" i="21"/>
  <c r="C9" i="20"/>
  <c r="C9" i="19"/>
  <c r="D19" i="28"/>
  <c r="C19" i="28"/>
  <c r="D18" i="28"/>
  <c r="D17" i="28"/>
  <c r="D16" i="28"/>
  <c r="D19" i="27"/>
  <c r="C19" i="27"/>
  <c r="D18" i="27"/>
  <c r="D17" i="27"/>
  <c r="D16" i="27"/>
  <c r="D19" i="21"/>
  <c r="C19" i="21"/>
  <c r="D18" i="21"/>
  <c r="D17" i="21"/>
  <c r="D16" i="21"/>
  <c r="D19" i="20"/>
  <c r="C19" i="20"/>
  <c r="D18" i="20"/>
  <c r="D17" i="20"/>
  <c r="D16" i="20"/>
  <c r="D19" i="19"/>
  <c r="C19" i="19"/>
  <c r="D18" i="19"/>
  <c r="D17" i="19"/>
  <c r="D16" i="19"/>
  <c r="C9" i="18"/>
  <c r="C19" i="18"/>
  <c r="D17" i="18"/>
  <c r="D18" i="18"/>
  <c r="D19" i="18"/>
  <c r="D16" i="18"/>
  <c r="S55" i="26" l="1"/>
  <c r="T57" i="26" s="1"/>
  <c r="T56" i="26"/>
  <c r="V52" i="26"/>
  <c r="V53" i="26"/>
  <c r="V51" i="26"/>
  <c r="V17" i="26"/>
  <c r="V12" i="26"/>
  <c r="V15" i="26"/>
  <c r="V13" i="26"/>
  <c r="V14" i="26"/>
  <c r="U17" i="26"/>
  <c r="U12" i="26"/>
  <c r="U15" i="26"/>
  <c r="U13" i="26"/>
  <c r="U14" i="26"/>
  <c r="T55" i="26" l="1"/>
  <c r="J97" i="26"/>
  <c r="H97" i="26"/>
  <c r="I92" i="26" s="1"/>
  <c r="K96" i="26"/>
  <c r="K95" i="26"/>
  <c r="K94" i="26"/>
  <c r="K93" i="26"/>
  <c r="K92" i="26"/>
  <c r="K91" i="26"/>
  <c r="K90" i="26"/>
  <c r="K89" i="26"/>
  <c r="I91" i="26" l="1"/>
  <c r="I95" i="26"/>
  <c r="I96" i="26"/>
  <c r="I89" i="26"/>
  <c r="I93" i="26"/>
  <c r="I97" i="26"/>
  <c r="I90" i="26"/>
  <c r="I94" i="26"/>
  <c r="K97" i="26"/>
  <c r="J209" i="28"/>
  <c r="K207" i="28" s="1"/>
  <c r="I209" i="28"/>
  <c r="H209" i="28"/>
  <c r="G209" i="28" s="1"/>
  <c r="G208" i="28"/>
  <c r="G207" i="28"/>
  <c r="G206" i="28"/>
  <c r="G205" i="28"/>
  <c r="J196" i="28"/>
  <c r="H196" i="28"/>
  <c r="I195" i="28" s="1"/>
  <c r="K195" i="28"/>
  <c r="K194" i="28"/>
  <c r="K193" i="28"/>
  <c r="K192" i="28"/>
  <c r="K191" i="28"/>
  <c r="K190" i="28"/>
  <c r="K189" i="28"/>
  <c r="K188" i="28"/>
  <c r="J179" i="28"/>
  <c r="H18" i="28" s="1"/>
  <c r="H179" i="28"/>
  <c r="I178" i="28" s="1"/>
  <c r="K178" i="28"/>
  <c r="K177" i="28"/>
  <c r="K176" i="28"/>
  <c r="K175" i="28"/>
  <c r="J160" i="28"/>
  <c r="K158" i="28" s="1"/>
  <c r="I160" i="28"/>
  <c r="G160" i="28" s="1"/>
  <c r="H160" i="28"/>
  <c r="G159" i="28"/>
  <c r="G158" i="28"/>
  <c r="G157" i="28"/>
  <c r="G156" i="28"/>
  <c r="J147" i="28"/>
  <c r="K147" i="28" s="1"/>
  <c r="H147" i="28"/>
  <c r="I146" i="28" s="1"/>
  <c r="K146" i="28"/>
  <c r="K145" i="28"/>
  <c r="I145" i="28"/>
  <c r="K144" i="28"/>
  <c r="K143" i="28"/>
  <c r="I143" i="28"/>
  <c r="K142" i="28"/>
  <c r="K141" i="28"/>
  <c r="I141" i="28"/>
  <c r="K140" i="28"/>
  <c r="K139" i="28"/>
  <c r="I139" i="28"/>
  <c r="J130" i="28"/>
  <c r="H17" i="28" s="1"/>
  <c r="H130" i="28"/>
  <c r="I129" i="28" s="1"/>
  <c r="K129" i="28"/>
  <c r="K128" i="28"/>
  <c r="K127" i="28"/>
  <c r="K126" i="28"/>
  <c r="J111" i="28"/>
  <c r="K111" i="28" s="1"/>
  <c r="I111" i="28"/>
  <c r="H111" i="28"/>
  <c r="G110" i="28"/>
  <c r="G109" i="28"/>
  <c r="G108" i="28"/>
  <c r="G107" i="28"/>
  <c r="J98" i="28"/>
  <c r="K98" i="28" s="1"/>
  <c r="H98" i="28"/>
  <c r="I97" i="28" s="1"/>
  <c r="K97" i="28"/>
  <c r="K96" i="28"/>
  <c r="I96" i="28"/>
  <c r="K95" i="28"/>
  <c r="K94" i="28"/>
  <c r="I94" i="28"/>
  <c r="K93" i="28"/>
  <c r="K92" i="28"/>
  <c r="I92" i="28"/>
  <c r="K91" i="28"/>
  <c r="K90" i="28"/>
  <c r="I90" i="28"/>
  <c r="J81" i="28"/>
  <c r="H16" i="28" s="1"/>
  <c r="H81" i="28"/>
  <c r="K80" i="28"/>
  <c r="K79" i="28"/>
  <c r="K78" i="28"/>
  <c r="K77" i="28"/>
  <c r="J61" i="28"/>
  <c r="I61" i="28"/>
  <c r="H61" i="28"/>
  <c r="J60" i="28"/>
  <c r="I60" i="28"/>
  <c r="H60" i="28"/>
  <c r="J59" i="28"/>
  <c r="I59" i="28"/>
  <c r="H59" i="28"/>
  <c r="J58" i="28"/>
  <c r="I58" i="28"/>
  <c r="H58" i="28"/>
  <c r="J49" i="28"/>
  <c r="H49" i="28"/>
  <c r="I48" i="28" s="1"/>
  <c r="K48" i="28"/>
  <c r="K47" i="28"/>
  <c r="K46" i="28"/>
  <c r="K45" i="28"/>
  <c r="K44" i="28"/>
  <c r="K43" i="28"/>
  <c r="K42" i="28"/>
  <c r="K41" i="28"/>
  <c r="J31" i="28"/>
  <c r="H31" i="28"/>
  <c r="J30" i="28"/>
  <c r="H30" i="28"/>
  <c r="J29" i="28"/>
  <c r="H29" i="28"/>
  <c r="J28" i="28"/>
  <c r="H28" i="28"/>
  <c r="K19" i="28"/>
  <c r="K20" i="26" s="1"/>
  <c r="J19" i="28"/>
  <c r="J20" i="26" s="1"/>
  <c r="L18" i="28"/>
  <c r="L17" i="28"/>
  <c r="L16" i="28"/>
  <c r="I4" i="28"/>
  <c r="B4" i="28"/>
  <c r="I3" i="28"/>
  <c r="B3" i="28"/>
  <c r="J209" i="27"/>
  <c r="K207" i="27" s="1"/>
  <c r="I209" i="27"/>
  <c r="H209" i="27"/>
  <c r="G208" i="27"/>
  <c r="G207" i="27"/>
  <c r="K206" i="27"/>
  <c r="G206" i="27"/>
  <c r="G205" i="27"/>
  <c r="J196" i="27"/>
  <c r="H196" i="27"/>
  <c r="I195" i="27" s="1"/>
  <c r="K195" i="27"/>
  <c r="K194" i="27"/>
  <c r="K193" i="27"/>
  <c r="K192" i="27"/>
  <c r="K191" i="27"/>
  <c r="K190" i="27"/>
  <c r="K189" i="27"/>
  <c r="K188" i="27"/>
  <c r="J179" i="27"/>
  <c r="H179" i="27"/>
  <c r="I178" i="27" s="1"/>
  <c r="K178" i="27"/>
  <c r="K177" i="27"/>
  <c r="K176" i="27"/>
  <c r="K175" i="27"/>
  <c r="J160" i="27"/>
  <c r="K158" i="27" s="1"/>
  <c r="I160" i="27"/>
  <c r="H160" i="27"/>
  <c r="G159" i="27"/>
  <c r="G158" i="27"/>
  <c r="G157" i="27"/>
  <c r="G156" i="27"/>
  <c r="J147" i="27"/>
  <c r="H147" i="27"/>
  <c r="I146" i="27" s="1"/>
  <c r="K146" i="27"/>
  <c r="K145" i="27"/>
  <c r="K144" i="27"/>
  <c r="K143" i="27"/>
  <c r="K142" i="27"/>
  <c r="K141" i="27"/>
  <c r="K140" i="27"/>
  <c r="K139" i="27"/>
  <c r="J130" i="27"/>
  <c r="H17" i="27" s="1"/>
  <c r="H130" i="27"/>
  <c r="I129" i="27" s="1"/>
  <c r="K129" i="27"/>
  <c r="K128" i="27"/>
  <c r="K127" i="27"/>
  <c r="K126" i="27"/>
  <c r="J111" i="27"/>
  <c r="K111" i="27" s="1"/>
  <c r="I111" i="27"/>
  <c r="H111" i="27"/>
  <c r="G110" i="27"/>
  <c r="G109" i="27"/>
  <c r="G108" i="27"/>
  <c r="G107" i="27"/>
  <c r="J98" i="27"/>
  <c r="H98" i="27"/>
  <c r="K98" i="27" s="1"/>
  <c r="K97" i="27"/>
  <c r="K96" i="27"/>
  <c r="K95" i="27"/>
  <c r="K94" i="27"/>
  <c r="K93" i="27"/>
  <c r="K92" i="27"/>
  <c r="K91" i="27"/>
  <c r="K90" i="27"/>
  <c r="J81" i="27"/>
  <c r="H16" i="27" s="1"/>
  <c r="H81" i="27"/>
  <c r="I81" i="27" s="1"/>
  <c r="K80" i="27"/>
  <c r="K79" i="27"/>
  <c r="I79" i="27"/>
  <c r="K78" i="27"/>
  <c r="K77" i="27"/>
  <c r="I77" i="27"/>
  <c r="J61" i="27"/>
  <c r="I61" i="27"/>
  <c r="H61" i="27"/>
  <c r="J60" i="27"/>
  <c r="I60" i="27"/>
  <c r="H60" i="27"/>
  <c r="J59" i="27"/>
  <c r="I59" i="27"/>
  <c r="H59" i="27"/>
  <c r="J58" i="27"/>
  <c r="I58" i="27"/>
  <c r="H58" i="27"/>
  <c r="J49" i="27"/>
  <c r="H49" i="27"/>
  <c r="I48" i="27" s="1"/>
  <c r="K48" i="27"/>
  <c r="K47" i="27"/>
  <c r="K46" i="27"/>
  <c r="K45" i="27"/>
  <c r="K44" i="27"/>
  <c r="I44" i="27"/>
  <c r="K43" i="27"/>
  <c r="K42" i="27"/>
  <c r="I42" i="27"/>
  <c r="K41" i="27"/>
  <c r="J31" i="27"/>
  <c r="H31" i="27"/>
  <c r="J30" i="27"/>
  <c r="H30" i="27"/>
  <c r="J29" i="27"/>
  <c r="H29" i="27"/>
  <c r="J28" i="27"/>
  <c r="H28" i="27"/>
  <c r="K19" i="27"/>
  <c r="K19" i="26" s="1"/>
  <c r="J19" i="27"/>
  <c r="J19" i="26" s="1"/>
  <c r="L18" i="27"/>
  <c r="L17" i="27"/>
  <c r="L16" i="27"/>
  <c r="I4" i="27"/>
  <c r="B4" i="27"/>
  <c r="I3" i="27"/>
  <c r="B3" i="27"/>
  <c r="L20" i="26" l="1"/>
  <c r="L19" i="26"/>
  <c r="I47" i="28"/>
  <c r="I45" i="28"/>
  <c r="I41" i="28"/>
  <c r="K49" i="28"/>
  <c r="I46" i="27"/>
  <c r="I41" i="27"/>
  <c r="I43" i="27"/>
  <c r="I45" i="27"/>
  <c r="I47" i="27"/>
  <c r="K49" i="27"/>
  <c r="G160" i="27"/>
  <c r="I43" i="28"/>
  <c r="K30" i="28"/>
  <c r="I140" i="28"/>
  <c r="I142" i="28"/>
  <c r="I144" i="28"/>
  <c r="K29" i="28"/>
  <c r="I175" i="27"/>
  <c r="L19" i="28"/>
  <c r="H62" i="28"/>
  <c r="K206" i="28"/>
  <c r="K208" i="28"/>
  <c r="K205" i="28"/>
  <c r="K157" i="28"/>
  <c r="K159" i="28"/>
  <c r="K156" i="28"/>
  <c r="G61" i="28"/>
  <c r="G111" i="28"/>
  <c r="K208" i="27"/>
  <c r="K157" i="27"/>
  <c r="K108" i="27"/>
  <c r="K110" i="27"/>
  <c r="G60" i="27"/>
  <c r="K107" i="27"/>
  <c r="K109" i="27"/>
  <c r="K196" i="28"/>
  <c r="I189" i="28"/>
  <c r="I196" i="28" s="1"/>
  <c r="I191" i="28"/>
  <c r="I193" i="28"/>
  <c r="I188" i="28"/>
  <c r="I190" i="28"/>
  <c r="I192" i="28"/>
  <c r="I194" i="28"/>
  <c r="I175" i="28"/>
  <c r="I179" i="28" s="1"/>
  <c r="I177" i="28"/>
  <c r="K179" i="28"/>
  <c r="G18" i="28"/>
  <c r="I18" i="28" s="1"/>
  <c r="N18" i="28" s="1"/>
  <c r="I176" i="28"/>
  <c r="I147" i="28"/>
  <c r="I126" i="28"/>
  <c r="G17" i="28"/>
  <c r="I128" i="28"/>
  <c r="I17" i="28"/>
  <c r="N17" i="28" s="1"/>
  <c r="I91" i="28"/>
  <c r="I93" i="28"/>
  <c r="I95" i="28"/>
  <c r="J32" i="28"/>
  <c r="I188" i="27"/>
  <c r="K196" i="27"/>
  <c r="I192" i="27"/>
  <c r="I177" i="27"/>
  <c r="K179" i="27"/>
  <c r="G18" i="27"/>
  <c r="I139" i="27"/>
  <c r="I143" i="27"/>
  <c r="G17" i="27"/>
  <c r="I90" i="27"/>
  <c r="I94" i="27"/>
  <c r="I92" i="27"/>
  <c r="I96" i="27"/>
  <c r="I91" i="27"/>
  <c r="I93" i="27"/>
  <c r="I95" i="27"/>
  <c r="G16" i="27"/>
  <c r="I16" i="27" s="1"/>
  <c r="N16" i="27" s="1"/>
  <c r="K31" i="27"/>
  <c r="K81" i="27"/>
  <c r="I78" i="27"/>
  <c r="I80" i="27"/>
  <c r="H18" i="27"/>
  <c r="I18" i="27" s="1"/>
  <c r="N18" i="27" s="1"/>
  <c r="I194" i="27"/>
  <c r="G209" i="27"/>
  <c r="I190" i="27"/>
  <c r="G59" i="27"/>
  <c r="I62" i="27"/>
  <c r="K159" i="27"/>
  <c r="G61" i="27"/>
  <c r="K156" i="27"/>
  <c r="K160" i="27" s="1"/>
  <c r="I126" i="27"/>
  <c r="K29" i="27"/>
  <c r="I145" i="27"/>
  <c r="K147" i="27"/>
  <c r="K30" i="27"/>
  <c r="I128" i="27"/>
  <c r="I17" i="27"/>
  <c r="N17" i="27" s="1"/>
  <c r="I141" i="27"/>
  <c r="G59" i="28"/>
  <c r="I62" i="28"/>
  <c r="K108" i="28"/>
  <c r="K110" i="28"/>
  <c r="J62" i="28"/>
  <c r="K60" i="28" s="1"/>
  <c r="G58" i="28"/>
  <c r="M58" i="28"/>
  <c r="G60" i="28"/>
  <c r="K107" i="28"/>
  <c r="K109" i="28"/>
  <c r="J62" i="27"/>
  <c r="K60" i="27" s="1"/>
  <c r="G111" i="27"/>
  <c r="G58" i="27"/>
  <c r="I97" i="27"/>
  <c r="K81" i="28"/>
  <c r="K28" i="28"/>
  <c r="K31" i="28"/>
  <c r="I77" i="28"/>
  <c r="I79" i="28"/>
  <c r="G16" i="28"/>
  <c r="I16" i="28" s="1"/>
  <c r="N16" i="28" s="1"/>
  <c r="I81" i="28"/>
  <c r="I78" i="28"/>
  <c r="I80" i="28"/>
  <c r="H32" i="28"/>
  <c r="I31" i="28" s="1"/>
  <c r="J32" i="27"/>
  <c r="K28" i="27"/>
  <c r="H32" i="27"/>
  <c r="I31" i="27" s="1"/>
  <c r="I42" i="28"/>
  <c r="I44" i="28"/>
  <c r="I46" i="28"/>
  <c r="L19" i="27"/>
  <c r="I127" i="28"/>
  <c r="I130" i="28" s="1"/>
  <c r="H19" i="28"/>
  <c r="H20" i="26" s="1"/>
  <c r="K130" i="28"/>
  <c r="M58" i="27"/>
  <c r="I127" i="27"/>
  <c r="I140" i="27"/>
  <c r="I142" i="27"/>
  <c r="I144" i="27"/>
  <c r="K205" i="27"/>
  <c r="H19" i="27"/>
  <c r="H19" i="26" s="1"/>
  <c r="H62" i="27"/>
  <c r="K130" i="27"/>
  <c r="I176" i="27"/>
  <c r="I179" i="27" s="1"/>
  <c r="I189" i="27"/>
  <c r="I191" i="27"/>
  <c r="I193" i="27"/>
  <c r="I49" i="28" l="1"/>
  <c r="I49" i="27"/>
  <c r="K209" i="27"/>
  <c r="G62" i="28"/>
  <c r="K58" i="28"/>
  <c r="I98" i="28"/>
  <c r="G19" i="27"/>
  <c r="G19" i="26" s="1"/>
  <c r="I19" i="26" s="1"/>
  <c r="N19" i="26" s="1"/>
  <c r="K209" i="28"/>
  <c r="K160" i="28"/>
  <c r="K61" i="27"/>
  <c r="K59" i="27"/>
  <c r="I147" i="27"/>
  <c r="I98" i="27"/>
  <c r="G62" i="27"/>
  <c r="K58" i="27"/>
  <c r="I28" i="27"/>
  <c r="I130" i="27"/>
  <c r="I28" i="28"/>
  <c r="K59" i="28"/>
  <c r="K61" i="28"/>
  <c r="K32" i="28"/>
  <c r="I29" i="28"/>
  <c r="G19" i="28"/>
  <c r="I30" i="28"/>
  <c r="I29" i="27"/>
  <c r="I30" i="27"/>
  <c r="K32" i="27"/>
  <c r="I196" i="27"/>
  <c r="I19" i="28" l="1"/>
  <c r="N19" i="28" s="1"/>
  <c r="G20" i="26"/>
  <c r="I20" i="26" s="1"/>
  <c r="N20" i="26" s="1"/>
  <c r="I19" i="27"/>
  <c r="N19" i="27" s="1"/>
  <c r="K62" i="28"/>
  <c r="K62" i="27"/>
  <c r="I32" i="27"/>
  <c r="I32" i="28"/>
  <c r="J31" i="21" l="1"/>
  <c r="J30" i="21"/>
  <c r="J29" i="21"/>
  <c r="J28" i="21"/>
  <c r="J31" i="20"/>
  <c r="J30" i="20"/>
  <c r="J29" i="20"/>
  <c r="J28" i="20"/>
  <c r="J31" i="19"/>
  <c r="J30" i="19"/>
  <c r="J29" i="19"/>
  <c r="J28" i="19"/>
  <c r="H31" i="21"/>
  <c r="H30" i="21"/>
  <c r="H29" i="21"/>
  <c r="H28" i="21"/>
  <c r="H31" i="20"/>
  <c r="H30" i="20"/>
  <c r="H29" i="20"/>
  <c r="H28" i="20"/>
  <c r="H31" i="19"/>
  <c r="H30" i="19"/>
  <c r="H29" i="19"/>
  <c r="H28" i="19"/>
  <c r="J61" i="21"/>
  <c r="I61" i="21"/>
  <c r="H61" i="21"/>
  <c r="J60" i="21"/>
  <c r="I60" i="21"/>
  <c r="H60" i="21"/>
  <c r="J59" i="21"/>
  <c r="I59" i="21"/>
  <c r="H59" i="21"/>
  <c r="J58" i="21"/>
  <c r="I58" i="21"/>
  <c r="H58" i="21"/>
  <c r="J61" i="20"/>
  <c r="I61" i="20"/>
  <c r="H61" i="20"/>
  <c r="J60" i="20"/>
  <c r="I60" i="20"/>
  <c r="H60" i="20"/>
  <c r="J59" i="20"/>
  <c r="I59" i="20"/>
  <c r="H59" i="20"/>
  <c r="J58" i="20"/>
  <c r="I58" i="20"/>
  <c r="H58" i="20"/>
  <c r="J61" i="19"/>
  <c r="I61" i="19"/>
  <c r="H61" i="19"/>
  <c r="J60" i="19"/>
  <c r="I60" i="19"/>
  <c r="H60" i="19"/>
  <c r="J59" i="19"/>
  <c r="I59" i="19"/>
  <c r="H59" i="19"/>
  <c r="J58" i="19"/>
  <c r="I58" i="19"/>
  <c r="H58" i="19"/>
  <c r="J58" i="18"/>
  <c r="I58" i="18"/>
  <c r="J61" i="18"/>
  <c r="I61" i="18"/>
  <c r="H61" i="18"/>
  <c r="J60" i="18"/>
  <c r="I60" i="18"/>
  <c r="H60" i="18"/>
  <c r="J59" i="18"/>
  <c r="I59" i="18"/>
  <c r="H59" i="18"/>
  <c r="H58" i="18"/>
  <c r="J31" i="18" l="1"/>
  <c r="J30" i="18"/>
  <c r="J29" i="18"/>
  <c r="J28" i="18"/>
  <c r="H31" i="18"/>
  <c r="H30" i="18"/>
  <c r="H29" i="18"/>
  <c r="H28" i="18"/>
  <c r="J209" i="21" l="1"/>
  <c r="I209" i="21"/>
  <c r="G209" i="21" s="1"/>
  <c r="H209" i="21"/>
  <c r="K208" i="21"/>
  <c r="G208" i="21"/>
  <c r="K207" i="21"/>
  <c r="G207" i="21"/>
  <c r="K206" i="21"/>
  <c r="G206" i="21"/>
  <c r="K205" i="21"/>
  <c r="K209" i="21" s="1"/>
  <c r="G205" i="21"/>
  <c r="J196" i="21"/>
  <c r="H196" i="21"/>
  <c r="I195" i="21" s="1"/>
  <c r="K195" i="21"/>
  <c r="K194" i="21"/>
  <c r="K193" i="21"/>
  <c r="K192" i="21"/>
  <c r="I192" i="21"/>
  <c r="K191" i="21"/>
  <c r="K190" i="21"/>
  <c r="I190" i="21"/>
  <c r="K189" i="21"/>
  <c r="K188" i="21"/>
  <c r="I188" i="21"/>
  <c r="J179" i="21"/>
  <c r="H18" i="21" s="1"/>
  <c r="H179" i="21"/>
  <c r="I177" i="21" s="1"/>
  <c r="K178" i="21"/>
  <c r="K177" i="21"/>
  <c r="K176" i="21"/>
  <c r="K175" i="21"/>
  <c r="I175" i="21"/>
  <c r="J160" i="21"/>
  <c r="K158" i="21" s="1"/>
  <c r="I160" i="21"/>
  <c r="H160" i="21"/>
  <c r="G159" i="21"/>
  <c r="G158" i="21"/>
  <c r="G157" i="21"/>
  <c r="G156" i="21"/>
  <c r="J147" i="21"/>
  <c r="H147" i="21"/>
  <c r="I146" i="21" s="1"/>
  <c r="K146" i="21"/>
  <c r="K145" i="21"/>
  <c r="I145" i="21"/>
  <c r="K144" i="21"/>
  <c r="K143" i="21"/>
  <c r="I143" i="21"/>
  <c r="K142" i="21"/>
  <c r="K141" i="21"/>
  <c r="I141" i="21"/>
  <c r="K140" i="21"/>
  <c r="K139" i="21"/>
  <c r="I139" i="21"/>
  <c r="J130" i="21"/>
  <c r="H17" i="21" s="1"/>
  <c r="I17" i="21" s="1"/>
  <c r="H130" i="21"/>
  <c r="G17" i="21" s="1"/>
  <c r="K129" i="21"/>
  <c r="K128" i="21"/>
  <c r="I128" i="21"/>
  <c r="K127" i="21"/>
  <c r="I127" i="21"/>
  <c r="K126" i="21"/>
  <c r="I126" i="21"/>
  <c r="J111" i="21"/>
  <c r="K109" i="21" s="1"/>
  <c r="I111" i="21"/>
  <c r="H111" i="21"/>
  <c r="G110" i="21"/>
  <c r="G109" i="21"/>
  <c r="G108" i="21"/>
  <c r="G107" i="21"/>
  <c r="J98" i="21"/>
  <c r="H98" i="21"/>
  <c r="I97" i="21" s="1"/>
  <c r="K97" i="21"/>
  <c r="K96" i="21"/>
  <c r="K95" i="21"/>
  <c r="K94" i="21"/>
  <c r="K93" i="21"/>
  <c r="K92" i="21"/>
  <c r="K91" i="21"/>
  <c r="K90" i="21"/>
  <c r="J81" i="21"/>
  <c r="H81" i="21"/>
  <c r="K80" i="21"/>
  <c r="I80" i="21"/>
  <c r="K79" i="21"/>
  <c r="I79" i="21"/>
  <c r="K78" i="21"/>
  <c r="I78" i="21"/>
  <c r="K77" i="21"/>
  <c r="I77" i="21"/>
  <c r="J62" i="21"/>
  <c r="K58" i="21" s="1"/>
  <c r="I62" i="21"/>
  <c r="G62" i="21" s="1"/>
  <c r="H62" i="21"/>
  <c r="G61" i="21"/>
  <c r="G60" i="21"/>
  <c r="K59" i="21"/>
  <c r="G59" i="21"/>
  <c r="M58" i="21"/>
  <c r="G58" i="21"/>
  <c r="J49" i="21"/>
  <c r="H49" i="21"/>
  <c r="I48" i="21" s="1"/>
  <c r="K48" i="21"/>
  <c r="K47" i="21"/>
  <c r="K46" i="21"/>
  <c r="K45" i="21"/>
  <c r="K44" i="21"/>
  <c r="K43" i="21"/>
  <c r="K42" i="21"/>
  <c r="K41" i="21"/>
  <c r="J32" i="21"/>
  <c r="H32" i="21"/>
  <c r="K31" i="21"/>
  <c r="K30" i="21"/>
  <c r="K29" i="21"/>
  <c r="K28" i="21"/>
  <c r="K19" i="21"/>
  <c r="J19" i="21"/>
  <c r="L18" i="21"/>
  <c r="L17" i="21"/>
  <c r="L16" i="21"/>
  <c r="J209" i="20"/>
  <c r="I209" i="20"/>
  <c r="H209" i="20"/>
  <c r="K208" i="20"/>
  <c r="G208" i="20"/>
  <c r="K207" i="20"/>
  <c r="G207" i="20"/>
  <c r="K206" i="20"/>
  <c r="G206" i="20"/>
  <c r="K205" i="20"/>
  <c r="K209" i="20" s="1"/>
  <c r="G205" i="20"/>
  <c r="J196" i="20"/>
  <c r="H196" i="20"/>
  <c r="I195" i="20" s="1"/>
  <c r="K195" i="20"/>
  <c r="K194" i="20"/>
  <c r="K193" i="20"/>
  <c r="K192" i="20"/>
  <c r="I192" i="20"/>
  <c r="K191" i="20"/>
  <c r="K190" i="20"/>
  <c r="I190" i="20"/>
  <c r="K189" i="20"/>
  <c r="K188" i="20"/>
  <c r="I188" i="20"/>
  <c r="J179" i="20"/>
  <c r="H18" i="20" s="1"/>
  <c r="H179" i="20"/>
  <c r="I177" i="20" s="1"/>
  <c r="K178" i="20"/>
  <c r="K177" i="20"/>
  <c r="K176" i="20"/>
  <c r="K175" i="20"/>
  <c r="I175" i="20"/>
  <c r="J160" i="20"/>
  <c r="K159" i="20" s="1"/>
  <c r="I160" i="20"/>
  <c r="H160" i="20"/>
  <c r="G159" i="20"/>
  <c r="G158" i="20"/>
  <c r="G157" i="20"/>
  <c r="G156" i="20"/>
  <c r="J147" i="20"/>
  <c r="H147" i="20"/>
  <c r="I146" i="20" s="1"/>
  <c r="K146" i="20"/>
  <c r="K145" i="20"/>
  <c r="I145" i="20"/>
  <c r="K144" i="20"/>
  <c r="K143" i="20"/>
  <c r="I143" i="20"/>
  <c r="K142" i="20"/>
  <c r="K141" i="20"/>
  <c r="I141" i="20"/>
  <c r="K140" i="20"/>
  <c r="I140" i="20"/>
  <c r="K139" i="20"/>
  <c r="I139" i="20"/>
  <c r="J130" i="20"/>
  <c r="H130" i="20"/>
  <c r="G17" i="20" s="1"/>
  <c r="K129" i="20"/>
  <c r="I129" i="20"/>
  <c r="K128" i="20"/>
  <c r="I128" i="20"/>
  <c r="K127" i="20"/>
  <c r="I127" i="20"/>
  <c r="K126" i="20"/>
  <c r="I126" i="20"/>
  <c r="J111" i="20"/>
  <c r="K109" i="20" s="1"/>
  <c r="I111" i="20"/>
  <c r="H111" i="20"/>
  <c r="G110" i="20"/>
  <c r="G109" i="20"/>
  <c r="K108" i="20"/>
  <c r="G108" i="20"/>
  <c r="G107" i="20"/>
  <c r="J98" i="20"/>
  <c r="H98" i="20"/>
  <c r="I97" i="20" s="1"/>
  <c r="K97" i="20"/>
  <c r="K96" i="20"/>
  <c r="I96" i="20"/>
  <c r="K95" i="20"/>
  <c r="K94" i="20"/>
  <c r="I94" i="20"/>
  <c r="K93" i="20"/>
  <c r="K92" i="20"/>
  <c r="I92" i="20"/>
  <c r="K91" i="20"/>
  <c r="K90" i="20"/>
  <c r="I90" i="20"/>
  <c r="J81" i="20"/>
  <c r="H81" i="20"/>
  <c r="I80" i="20" s="1"/>
  <c r="K80" i="20"/>
  <c r="K79" i="20"/>
  <c r="K78" i="20"/>
  <c r="K77" i="20"/>
  <c r="J62" i="20"/>
  <c r="K58" i="20" s="1"/>
  <c r="I62" i="20"/>
  <c r="H62" i="20"/>
  <c r="G61" i="20"/>
  <c r="G60" i="20"/>
  <c r="G59" i="20"/>
  <c r="M58" i="20"/>
  <c r="G58" i="20"/>
  <c r="J49" i="20"/>
  <c r="H49" i="20"/>
  <c r="I47" i="20" s="1"/>
  <c r="K48" i="20"/>
  <c r="K47" i="20"/>
  <c r="K46" i="20"/>
  <c r="K45" i="20"/>
  <c r="I45" i="20"/>
  <c r="K44" i="20"/>
  <c r="K43" i="20"/>
  <c r="K42" i="20"/>
  <c r="K41" i="20"/>
  <c r="J32" i="20"/>
  <c r="H32" i="20"/>
  <c r="K31" i="20"/>
  <c r="K30" i="20"/>
  <c r="K29" i="20"/>
  <c r="K28" i="20"/>
  <c r="K19" i="20"/>
  <c r="J19" i="20"/>
  <c r="L18" i="20"/>
  <c r="L17" i="20"/>
  <c r="L16" i="20"/>
  <c r="J209" i="19"/>
  <c r="K207" i="19" s="1"/>
  <c r="I209" i="19"/>
  <c r="H209" i="19"/>
  <c r="G208" i="19"/>
  <c r="G207" i="19"/>
  <c r="G206" i="19"/>
  <c r="G205" i="19"/>
  <c r="J196" i="19"/>
  <c r="H196" i="19"/>
  <c r="I195" i="19" s="1"/>
  <c r="K195" i="19"/>
  <c r="K194" i="19"/>
  <c r="I194" i="19"/>
  <c r="K193" i="19"/>
  <c r="K192" i="19"/>
  <c r="I192" i="19"/>
  <c r="K191" i="19"/>
  <c r="K190" i="19"/>
  <c r="I190" i="19"/>
  <c r="K189" i="19"/>
  <c r="K188" i="19"/>
  <c r="I188" i="19"/>
  <c r="J179" i="19"/>
  <c r="H179" i="19"/>
  <c r="G18" i="19" s="1"/>
  <c r="K178" i="19"/>
  <c r="K177" i="19"/>
  <c r="K176" i="19"/>
  <c r="K175" i="19"/>
  <c r="I175" i="19"/>
  <c r="J160" i="19"/>
  <c r="K158" i="19" s="1"/>
  <c r="I160" i="19"/>
  <c r="H160" i="19"/>
  <c r="G159" i="19"/>
  <c r="G158" i="19"/>
  <c r="G157" i="19"/>
  <c r="G156" i="19"/>
  <c r="J147" i="19"/>
  <c r="H147" i="19"/>
  <c r="I146" i="19" s="1"/>
  <c r="K146" i="19"/>
  <c r="K145" i="19"/>
  <c r="K144" i="19"/>
  <c r="K143" i="19"/>
  <c r="K142" i="19"/>
  <c r="K141" i="19"/>
  <c r="I141" i="19"/>
  <c r="K140" i="19"/>
  <c r="K139" i="19"/>
  <c r="I139" i="19"/>
  <c r="J130" i="19"/>
  <c r="H17" i="19" s="1"/>
  <c r="H130" i="19"/>
  <c r="G17" i="19" s="1"/>
  <c r="K129" i="19"/>
  <c r="K128" i="19"/>
  <c r="K127" i="19"/>
  <c r="K126" i="19"/>
  <c r="J111" i="19"/>
  <c r="K111" i="19" s="1"/>
  <c r="I111" i="19"/>
  <c r="G111" i="19" s="1"/>
  <c r="H111" i="19"/>
  <c r="K110" i="19"/>
  <c r="G110" i="19"/>
  <c r="G109" i="19"/>
  <c r="K108" i="19"/>
  <c r="G108" i="19"/>
  <c r="G107" i="19"/>
  <c r="J98" i="19"/>
  <c r="H98" i="19"/>
  <c r="I97" i="19" s="1"/>
  <c r="K97" i="19"/>
  <c r="K96" i="19"/>
  <c r="I96" i="19"/>
  <c r="K95" i="19"/>
  <c r="K94" i="19"/>
  <c r="I94" i="19"/>
  <c r="K93" i="19"/>
  <c r="K92" i="19"/>
  <c r="I92" i="19"/>
  <c r="K91" i="19"/>
  <c r="K90" i="19"/>
  <c r="I90" i="19"/>
  <c r="J81" i="19"/>
  <c r="H16" i="19" s="1"/>
  <c r="H81" i="19"/>
  <c r="I77" i="19" s="1"/>
  <c r="K80" i="19"/>
  <c r="K79" i="19"/>
  <c r="K78" i="19"/>
  <c r="K77" i="19"/>
  <c r="J62" i="19"/>
  <c r="K58" i="19" s="1"/>
  <c r="I62" i="19"/>
  <c r="H62" i="19"/>
  <c r="G61" i="19"/>
  <c r="G60" i="19"/>
  <c r="G59" i="19"/>
  <c r="M58" i="19"/>
  <c r="G58" i="19"/>
  <c r="J49" i="19"/>
  <c r="H49" i="19"/>
  <c r="I48" i="19" s="1"/>
  <c r="K48" i="19"/>
  <c r="K47" i="19"/>
  <c r="K46" i="19"/>
  <c r="K45" i="19"/>
  <c r="K44" i="19"/>
  <c r="I44" i="19"/>
  <c r="K43" i="19"/>
  <c r="I43" i="19"/>
  <c r="K42" i="19"/>
  <c r="I42" i="19"/>
  <c r="K41" i="19"/>
  <c r="I41" i="19"/>
  <c r="J32" i="19"/>
  <c r="H32" i="19"/>
  <c r="I31" i="19" s="1"/>
  <c r="K31" i="19"/>
  <c r="K30" i="19"/>
  <c r="K29" i="19"/>
  <c r="K28" i="19"/>
  <c r="K19" i="19"/>
  <c r="J19" i="19"/>
  <c r="L18" i="19"/>
  <c r="L17" i="19"/>
  <c r="L16" i="19"/>
  <c r="I47" i="19" l="1"/>
  <c r="I45" i="19"/>
  <c r="L19" i="19"/>
  <c r="G160" i="19"/>
  <c r="K206" i="19"/>
  <c r="K208" i="19"/>
  <c r="K205" i="19"/>
  <c r="G111" i="20"/>
  <c r="K110" i="20"/>
  <c r="K156" i="20"/>
  <c r="K160" i="20" s="1"/>
  <c r="K158" i="20"/>
  <c r="G160" i="20"/>
  <c r="K157" i="20"/>
  <c r="G209" i="20"/>
  <c r="K108" i="21"/>
  <c r="K110" i="21"/>
  <c r="K157" i="21"/>
  <c r="K159" i="21"/>
  <c r="K156" i="21"/>
  <c r="G160" i="21"/>
  <c r="I129" i="21"/>
  <c r="I130" i="21" s="1"/>
  <c r="I147" i="20"/>
  <c r="I142" i="20"/>
  <c r="I144" i="20"/>
  <c r="K147" i="20"/>
  <c r="I130" i="20"/>
  <c r="I79" i="20"/>
  <c r="I77" i="20"/>
  <c r="I189" i="19"/>
  <c r="I191" i="19"/>
  <c r="I193" i="19"/>
  <c r="K196" i="19"/>
  <c r="I176" i="19"/>
  <c r="I179" i="19" s="1"/>
  <c r="I178" i="19"/>
  <c r="I177" i="19"/>
  <c r="I143" i="19"/>
  <c r="I145" i="19"/>
  <c r="I140" i="19"/>
  <c r="I142" i="19"/>
  <c r="I147" i="19" s="1"/>
  <c r="I144" i="19"/>
  <c r="K147" i="19"/>
  <c r="I126" i="19"/>
  <c r="I128" i="19"/>
  <c r="I28" i="19"/>
  <c r="I30" i="19"/>
  <c r="K81" i="19"/>
  <c r="I29" i="19"/>
  <c r="L19" i="21"/>
  <c r="N17" i="21"/>
  <c r="L19" i="20"/>
  <c r="I41" i="21"/>
  <c r="I45" i="21"/>
  <c r="I43" i="21"/>
  <c r="I47" i="21"/>
  <c r="K49" i="21"/>
  <c r="I43" i="20"/>
  <c r="I41" i="20"/>
  <c r="K49" i="20"/>
  <c r="I46" i="19"/>
  <c r="I49" i="19" s="1"/>
  <c r="K49" i="19"/>
  <c r="G111" i="21"/>
  <c r="G62" i="20"/>
  <c r="G209" i="19"/>
  <c r="K159" i="19"/>
  <c r="G62" i="19"/>
  <c r="K157" i="19"/>
  <c r="I194" i="21"/>
  <c r="K196" i="21"/>
  <c r="K179" i="21"/>
  <c r="G18" i="21"/>
  <c r="I18" i="21" s="1"/>
  <c r="N18" i="21" s="1"/>
  <c r="I140" i="21"/>
  <c r="I142" i="21"/>
  <c r="I144" i="21"/>
  <c r="K147" i="21"/>
  <c r="K130" i="21"/>
  <c r="K98" i="21"/>
  <c r="I90" i="21"/>
  <c r="I92" i="21"/>
  <c r="I94" i="21"/>
  <c r="I96" i="21"/>
  <c r="I91" i="21"/>
  <c r="I93" i="21"/>
  <c r="I95" i="21"/>
  <c r="K81" i="21"/>
  <c r="H16" i="21"/>
  <c r="H19" i="21" s="1"/>
  <c r="H18" i="26" s="1"/>
  <c r="K32" i="21"/>
  <c r="I81" i="21"/>
  <c r="G16" i="21"/>
  <c r="I194" i="20"/>
  <c r="K196" i="20"/>
  <c r="K179" i="20"/>
  <c r="G18" i="20"/>
  <c r="I18" i="20" s="1"/>
  <c r="N18" i="20" s="1"/>
  <c r="I17" i="20"/>
  <c r="N17" i="20" s="1"/>
  <c r="K130" i="20"/>
  <c r="H17" i="20"/>
  <c r="K32" i="20"/>
  <c r="I28" i="20"/>
  <c r="K98" i="20"/>
  <c r="I91" i="20"/>
  <c r="I93" i="20"/>
  <c r="I95" i="20"/>
  <c r="I98" i="20" s="1"/>
  <c r="K81" i="20"/>
  <c r="H16" i="20"/>
  <c r="H19" i="20" s="1"/>
  <c r="H17" i="26" s="1"/>
  <c r="I30" i="20"/>
  <c r="I78" i="20"/>
  <c r="I81" i="20"/>
  <c r="G16" i="20"/>
  <c r="K179" i="19"/>
  <c r="H18" i="19"/>
  <c r="I18" i="19" s="1"/>
  <c r="N18" i="19" s="1"/>
  <c r="K32" i="19"/>
  <c r="I17" i="19"/>
  <c r="N17" i="19" s="1"/>
  <c r="I127" i="19"/>
  <c r="I130" i="19" s="1"/>
  <c r="I129" i="19"/>
  <c r="K130" i="19"/>
  <c r="K98" i="19"/>
  <c r="I80" i="19"/>
  <c r="G16" i="19"/>
  <c r="I79" i="19"/>
  <c r="I28" i="21"/>
  <c r="I30" i="21"/>
  <c r="K59" i="20"/>
  <c r="K59" i="19"/>
  <c r="K61" i="19"/>
  <c r="K60" i="19"/>
  <c r="I29" i="21"/>
  <c r="I31" i="21"/>
  <c r="I42" i="21"/>
  <c r="I44" i="21"/>
  <c r="I46" i="21"/>
  <c r="K60" i="21"/>
  <c r="K111" i="21"/>
  <c r="I176" i="21"/>
  <c r="I178" i="21"/>
  <c r="I189" i="21"/>
  <c r="I196" i="21" s="1"/>
  <c r="I191" i="21"/>
  <c r="I193" i="21"/>
  <c r="K61" i="21"/>
  <c r="K107" i="21"/>
  <c r="I29" i="20"/>
  <c r="I31" i="20"/>
  <c r="I42" i="20"/>
  <c r="I44" i="20"/>
  <c r="I46" i="20"/>
  <c r="I48" i="20"/>
  <c r="K60" i="20"/>
  <c r="K111" i="20"/>
  <c r="I176" i="20"/>
  <c r="I178" i="20"/>
  <c r="I189" i="20"/>
  <c r="I196" i="20" s="1"/>
  <c r="I191" i="20"/>
  <c r="I193" i="20"/>
  <c r="K61" i="20"/>
  <c r="K107" i="20"/>
  <c r="I81" i="19"/>
  <c r="K107" i="19"/>
  <c r="K109" i="19"/>
  <c r="I78" i="19"/>
  <c r="I91" i="19"/>
  <c r="I98" i="19" s="1"/>
  <c r="I93" i="19"/>
  <c r="I95" i="19"/>
  <c r="K156" i="19"/>
  <c r="K160" i="19" s="1"/>
  <c r="U52" i="26"/>
  <c r="U53" i="26"/>
  <c r="U51" i="26"/>
  <c r="K62" i="19" l="1"/>
  <c r="K209" i="19"/>
  <c r="K160" i="21"/>
  <c r="I179" i="21"/>
  <c r="I179" i="20"/>
  <c r="I196" i="19"/>
  <c r="I32" i="19"/>
  <c r="I49" i="21"/>
  <c r="I49" i="20"/>
  <c r="K62" i="21"/>
  <c r="K62" i="20"/>
  <c r="I147" i="21"/>
  <c r="I98" i="21"/>
  <c r="G19" i="21"/>
  <c r="I16" i="21"/>
  <c r="N16" i="21" s="1"/>
  <c r="I32" i="21"/>
  <c r="I32" i="20"/>
  <c r="I16" i="20"/>
  <c r="N16" i="20" s="1"/>
  <c r="G19" i="20"/>
  <c r="H19" i="19"/>
  <c r="H16" i="26" s="1"/>
  <c r="G19" i="19"/>
  <c r="I16" i="19"/>
  <c r="N16" i="19" s="1"/>
  <c r="V16" i="26"/>
  <c r="U16" i="26"/>
  <c r="I19" i="21" l="1"/>
  <c r="N19" i="21" s="1"/>
  <c r="G18" i="26"/>
  <c r="I19" i="20"/>
  <c r="N19" i="20" s="1"/>
  <c r="G17" i="26"/>
  <c r="I19" i="19"/>
  <c r="N19" i="19" s="1"/>
  <c r="G16" i="26"/>
  <c r="M58" i="18"/>
  <c r="I3" i="26"/>
  <c r="L55" i="26"/>
  <c r="B4" i="26"/>
  <c r="K18" i="26"/>
  <c r="J18" i="26"/>
  <c r="K17" i="26"/>
  <c r="J17" i="26"/>
  <c r="K16" i="26"/>
  <c r="J16" i="26"/>
  <c r="B3" i="26"/>
  <c r="L17" i="26" l="1"/>
  <c r="L18" i="26"/>
  <c r="I17" i="26"/>
  <c r="K74" i="26"/>
  <c r="I18" i="26"/>
  <c r="I16" i="26"/>
  <c r="K72" i="26"/>
  <c r="K73" i="26"/>
  <c r="G33" i="26"/>
  <c r="L16" i="26"/>
  <c r="L53" i="26"/>
  <c r="G31" i="26"/>
  <c r="M30" i="26"/>
  <c r="H34" i="26"/>
  <c r="J34" i="26"/>
  <c r="K33" i="26" s="1"/>
  <c r="I34" i="26"/>
  <c r="J75" i="26"/>
  <c r="J56" i="26"/>
  <c r="K56" i="26"/>
  <c r="H75" i="26"/>
  <c r="I73" i="26" s="1"/>
  <c r="K71" i="26"/>
  <c r="L54" i="26"/>
  <c r="G32" i="26"/>
  <c r="G30" i="26"/>
  <c r="N17" i="26" l="1"/>
  <c r="K30" i="26"/>
  <c r="N18" i="26"/>
  <c r="N16" i="26"/>
  <c r="G34" i="26"/>
  <c r="I72" i="26"/>
  <c r="L56" i="26"/>
  <c r="K75" i="26"/>
  <c r="K32" i="26"/>
  <c r="K31" i="26"/>
  <c r="I74" i="26"/>
  <c r="I71" i="26"/>
  <c r="I75" i="26" l="1"/>
  <c r="K34" i="26"/>
  <c r="I4" i="21"/>
  <c r="B4" i="21"/>
  <c r="I3" i="21"/>
  <c r="B3" i="21"/>
  <c r="I4" i="20"/>
  <c r="B4" i="20"/>
  <c r="I3" i="20"/>
  <c r="B3" i="20"/>
  <c r="I4" i="19"/>
  <c r="B4" i="19"/>
  <c r="I3" i="19"/>
  <c r="B3" i="19"/>
  <c r="J62" i="18" l="1"/>
  <c r="K61" i="18" s="1"/>
  <c r="G58" i="18"/>
  <c r="H62" i="18"/>
  <c r="G60" i="18"/>
  <c r="J49" i="18"/>
  <c r="H49" i="18"/>
  <c r="I47" i="18" s="1"/>
  <c r="K48" i="18"/>
  <c r="K47" i="18"/>
  <c r="K46" i="18"/>
  <c r="K45" i="18"/>
  <c r="K44" i="18"/>
  <c r="K43" i="18"/>
  <c r="K42" i="18"/>
  <c r="K41" i="18"/>
  <c r="J32" i="18"/>
  <c r="K30" i="18"/>
  <c r="K29" i="18"/>
  <c r="I4" i="18"/>
  <c r="I3" i="18"/>
  <c r="B4" i="18"/>
  <c r="B3" i="18"/>
  <c r="K31" i="18" l="1"/>
  <c r="I62" i="18"/>
  <c r="G62" i="18" s="1"/>
  <c r="G61" i="18"/>
  <c r="K60" i="18"/>
  <c r="K58" i="18"/>
  <c r="I44" i="18"/>
  <c r="I45" i="18"/>
  <c r="K49" i="18"/>
  <c r="I48" i="18"/>
  <c r="I41" i="18"/>
  <c r="K59" i="18"/>
  <c r="G59" i="18"/>
  <c r="I42" i="18"/>
  <c r="I46" i="18"/>
  <c r="I43" i="18"/>
  <c r="K28" i="18"/>
  <c r="H32" i="18"/>
  <c r="K32" i="18" s="1"/>
  <c r="J209" i="18"/>
  <c r="K208" i="18" s="1"/>
  <c r="I209" i="18"/>
  <c r="H209" i="18"/>
  <c r="G208" i="18"/>
  <c r="G207" i="18"/>
  <c r="G206" i="18"/>
  <c r="G205" i="18"/>
  <c r="K206" i="18" l="1"/>
  <c r="I28" i="18"/>
  <c r="K205" i="18"/>
  <c r="K62" i="18"/>
  <c r="I49" i="18"/>
  <c r="I31" i="18"/>
  <c r="I30" i="18"/>
  <c r="I29" i="18"/>
  <c r="K207" i="18"/>
  <c r="G209" i="18"/>
  <c r="K209" i="18" l="1"/>
  <c r="I32" i="18"/>
  <c r="J196" i="18"/>
  <c r="H196" i="18"/>
  <c r="K195" i="18"/>
  <c r="K194" i="18"/>
  <c r="K193" i="18"/>
  <c r="K192" i="18"/>
  <c r="K191" i="18"/>
  <c r="K190" i="18"/>
  <c r="K189" i="18"/>
  <c r="K188" i="18"/>
  <c r="K196" i="18" l="1"/>
  <c r="I190" i="18"/>
  <c r="I195" i="18"/>
  <c r="I188" i="18"/>
  <c r="I192" i="18"/>
  <c r="I194" i="18"/>
  <c r="I191" i="18"/>
  <c r="I189" i="18"/>
  <c r="I193" i="18"/>
  <c r="J179" i="18"/>
  <c r="H18" i="18" s="1"/>
  <c r="H179" i="18"/>
  <c r="K178" i="18"/>
  <c r="K177" i="18"/>
  <c r="K176" i="18"/>
  <c r="K175" i="18"/>
  <c r="I176" i="18" l="1"/>
  <c r="G18" i="18"/>
  <c r="I55" i="26" s="1"/>
  <c r="N55" i="26" s="1"/>
  <c r="I196" i="18"/>
  <c r="I177" i="18"/>
  <c r="K179" i="18"/>
  <c r="I175" i="18"/>
  <c r="I178" i="18"/>
  <c r="K143" i="18"/>
  <c r="J160" i="18"/>
  <c r="K158" i="18" s="1"/>
  <c r="I160" i="18"/>
  <c r="H160" i="18"/>
  <c r="G159" i="18"/>
  <c r="G158" i="18"/>
  <c r="G157" i="18"/>
  <c r="G156" i="18"/>
  <c r="J147" i="18"/>
  <c r="H147" i="18"/>
  <c r="K146" i="18"/>
  <c r="K145" i="18"/>
  <c r="K144" i="18"/>
  <c r="K142" i="18"/>
  <c r="K141" i="18"/>
  <c r="K140" i="18"/>
  <c r="K139" i="18"/>
  <c r="K147" i="18" l="1"/>
  <c r="I140" i="18"/>
  <c r="I141" i="18"/>
  <c r="I144" i="18"/>
  <c r="I145" i="18"/>
  <c r="I142" i="18"/>
  <c r="I146" i="18"/>
  <c r="K157" i="18"/>
  <c r="I139" i="18"/>
  <c r="I143" i="18"/>
  <c r="K159" i="18"/>
  <c r="I179" i="18"/>
  <c r="K156" i="18"/>
  <c r="G160" i="18"/>
  <c r="J130" i="18"/>
  <c r="H17" i="18" s="1"/>
  <c r="H130" i="18"/>
  <c r="G17" i="18" s="1"/>
  <c r="K129" i="18"/>
  <c r="K128" i="18"/>
  <c r="K127" i="18"/>
  <c r="K126" i="18"/>
  <c r="I54" i="26" l="1"/>
  <c r="N54" i="26" s="1"/>
  <c r="K160" i="18"/>
  <c r="I129" i="18"/>
  <c r="I128" i="18"/>
  <c r="I127" i="18"/>
  <c r="I126" i="18"/>
  <c r="K130" i="18"/>
  <c r="H111" i="18"/>
  <c r="I111" i="18"/>
  <c r="J111" i="18"/>
  <c r="K108" i="18" s="1"/>
  <c r="G108" i="18"/>
  <c r="G109" i="18"/>
  <c r="G110" i="18"/>
  <c r="G107" i="18"/>
  <c r="K111" i="18" l="1"/>
  <c r="K110" i="18"/>
  <c r="G111" i="18"/>
  <c r="K109" i="18"/>
  <c r="I130" i="18"/>
  <c r="K107" i="18"/>
  <c r="J98" i="18"/>
  <c r="H98" i="18"/>
  <c r="K97" i="18"/>
  <c r="K96" i="18"/>
  <c r="K95" i="18"/>
  <c r="K94" i="18"/>
  <c r="K93" i="18"/>
  <c r="K92" i="18"/>
  <c r="K91" i="18"/>
  <c r="K90" i="18"/>
  <c r="J81" i="18"/>
  <c r="H16" i="18" s="1"/>
  <c r="H56" i="26" s="1"/>
  <c r="H81" i="18"/>
  <c r="G16" i="18" s="1"/>
  <c r="K80" i="18"/>
  <c r="K79" i="18"/>
  <c r="K78" i="18"/>
  <c r="K77" i="18"/>
  <c r="I53" i="26" l="1"/>
  <c r="N53" i="26" s="1"/>
  <c r="G56" i="26"/>
  <c r="I56" i="26" s="1"/>
  <c r="N56" i="26" s="1"/>
  <c r="K81" i="18"/>
  <c r="I78" i="18"/>
  <c r="K98" i="18"/>
  <c r="I93" i="18"/>
  <c r="I96" i="18"/>
  <c r="I92" i="18"/>
  <c r="I95" i="18"/>
  <c r="I91" i="18"/>
  <c r="I94" i="18"/>
  <c r="I90" i="18"/>
  <c r="I97" i="18"/>
  <c r="I77" i="18"/>
  <c r="I79" i="18"/>
  <c r="I81" i="18"/>
  <c r="I80" i="18"/>
  <c r="I147" i="18" l="1"/>
  <c r="I98" i="18"/>
  <c r="J19" i="18"/>
  <c r="J15" i="26" s="1"/>
  <c r="J21" i="26" s="1"/>
  <c r="K19" i="18"/>
  <c r="K15" i="26" s="1"/>
  <c r="K21" i="26" s="1"/>
  <c r="L15" i="26" l="1"/>
  <c r="L21" i="26"/>
  <c r="G19" i="18" l="1"/>
  <c r="G15" i="26" s="1"/>
  <c r="G21" i="26" s="1"/>
  <c r="H19" i="18"/>
  <c r="H15" i="26" l="1"/>
  <c r="H21" i="26" s="1"/>
  <c r="I21" i="26" s="1"/>
  <c r="N21" i="26" s="1"/>
  <c r="L19" i="18"/>
  <c r="L18" i="18"/>
  <c r="L17" i="18"/>
  <c r="L16" i="18"/>
  <c r="I17" i="18"/>
  <c r="I18" i="18"/>
  <c r="I19" i="18"/>
  <c r="I16" i="18"/>
  <c r="N18" i="18" l="1"/>
  <c r="I15" i="26"/>
  <c r="N15" i="26" s="1"/>
  <c r="N17" i="18"/>
  <c r="N16" i="18"/>
  <c r="N19" i="18"/>
</calcChain>
</file>

<file path=xl/sharedStrings.xml><?xml version="1.0" encoding="utf-8"?>
<sst xmlns="http://schemas.openxmlformats.org/spreadsheetml/2006/main" count="1312" uniqueCount="133">
  <si>
    <t>Total</t>
  </si>
  <si>
    <t>(Millones S/)</t>
  </si>
  <si>
    <t>Índice</t>
  </si>
  <si>
    <t>Part. %</t>
  </si>
  <si>
    <t>Región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</si>
  <si>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</si>
  <si>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</si>
  <si>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</si>
  <si>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</si>
  <si>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</si>
  <si>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</si>
  <si>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</si>
  <si>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</si>
  <si>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</si>
  <si>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</si>
  <si>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</si>
  <si>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</si>
  <si>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</si>
  <si>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</si>
  <si>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</si>
  <si>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</si>
  <si>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</si>
  <si>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</si>
  <si>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Ejecución del Presupuesto para proyectos de inversión pública del GN,  por sectores 2016</t>
  </si>
  <si>
    <t>Ejecución del Presupuesto para proyectos de inversión pública  del GN,  por tipo de intervención 2016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</si>
  <si>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</si>
  <si>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</si>
  <si>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</si>
  <si>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</si>
  <si>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</si>
  <si>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</si>
  <si>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</si>
  <si>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</si>
  <si>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</si>
  <si>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</si>
  <si>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Número de proyectos de inversión pública del GN  por nivel de avance, 2016</t>
  </si>
  <si>
    <t>(PIM y Devengado en Millones de S/)</t>
  </si>
  <si>
    <t>Ejecución del Presupuesto para proyectos de inversión pública  del GR,  por tipo de intervención 2016</t>
  </si>
  <si>
    <t>Ejecución del Presupuesto para proyectos de inversión pública  de los GL,  por tipo de intervención 2016</t>
  </si>
  <si>
    <t>1. Ejecución del de proyectos de inversión pública en la Región</t>
  </si>
  <si>
    <t>Ejecución del Presupuesto para proyectos de inversión pública  en la Región,  por tipo de intervención 2016</t>
  </si>
  <si>
    <t>Ejecución del Presupuesto para proyectos de inversión pública en la región,  por sectores 2016</t>
  </si>
  <si>
    <t>Número de proyectos de inversión pública  en la región por nivel de avance, 2016</t>
  </si>
  <si>
    <t xml:space="preserve">Ejecución del Presupuesto para proyectos de inversión pública  2016,  por niveles de gobierno  
</t>
  </si>
  <si>
    <t>1.Ejecución del de proyectos de inversión pública en la Macroregión</t>
  </si>
  <si>
    <t>Ejecución del Presupuesto para proyectos de inversión pública  2016</t>
  </si>
  <si>
    <t>Número de proyectos de inversión pública  y nivel de avance en la macro región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</si>
  <si>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</si>
  <si>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</si>
  <si>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</si>
  <si>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</t>
  </si>
  <si>
    <t>Ejecutado</t>
  </si>
  <si>
    <t>No Ejecutado</t>
  </si>
  <si>
    <t>dep</t>
  </si>
  <si>
    <t>Presupuesto 2016 (Millones S/)</t>
  </si>
  <si>
    <t>Avance (% del presupuesto)</t>
  </si>
  <si>
    <t>Nivel de Gob</t>
  </si>
  <si>
    <t>Por Ejecutar</t>
  </si>
  <si>
    <t>GN</t>
  </si>
  <si>
    <t>GR</t>
  </si>
  <si>
    <t>GL</t>
  </si>
  <si>
    <t>Dif. P.p</t>
  </si>
  <si>
    <t>Otros</t>
  </si>
  <si>
    <t>Salud</t>
  </si>
  <si>
    <t>Agropecuario</t>
  </si>
  <si>
    <t>Educación</t>
  </si>
  <si>
    <t>Gestión</t>
  </si>
  <si>
    <t>Saneamiento</t>
  </si>
  <si>
    <t>Trasnporte</t>
  </si>
  <si>
    <t>Ambiente</t>
  </si>
  <si>
    <t>Dif. p.p</t>
  </si>
  <si>
    <t>4. Ejecución de la Inversión Pública por sectores  en la Macro Región</t>
  </si>
  <si>
    <t>(PIM y Ejecutado en Millones de S/)</t>
  </si>
  <si>
    <t>Ejecutado </t>
  </si>
  <si>
    <t>Ejecutado (nov)</t>
  </si>
  <si>
    <t>Presupuesto  (Millones S/)</t>
  </si>
  <si>
    <t>“Ejecución de presupuesto para proyectos de inversión pública – 2016”</t>
  </si>
  <si>
    <t>Información ampliada del Reporte Regional de la Macro Región Sur - Edición N° 220</t>
  </si>
  <si>
    <t>Sur</t>
  </si>
  <si>
    <t>Arequipa</t>
  </si>
  <si>
    <t>Cusco</t>
  </si>
  <si>
    <t>Madre de dios</t>
  </si>
  <si>
    <t>Moquegua</t>
  </si>
  <si>
    <t>Puno</t>
  </si>
  <si>
    <t>Tacna</t>
  </si>
  <si>
    <t>MACRO REGIÓN SUR: Ejecución del presupuesto para proyectos de inversión - 2016</t>
  </si>
  <si>
    <t>Madre de Dios</t>
  </si>
  <si>
    <t>Fuente: MEF, consulta  19 de diciembre del 2016                                 Elaboración: CIE-PERUCÁMARAS</t>
  </si>
  <si>
    <t>Fuente: MEF, consulta  19 de diciembre del 2016                                                                                                                 Elaboración: CIE-PERUCÁMARAS</t>
  </si>
  <si>
    <t>Fuente: MEF, consulta  19 de diciembre del 2016                                                                                                                                      Elaboración: CIE-PERUCÁMARAS</t>
  </si>
  <si>
    <t>Fuente: MEF, consulta  19 de diciembre del 2016                                               Elaboración: CIE-PERUCÁMARAS</t>
  </si>
  <si>
    <r>
      <rPr>
        <sz val="16"/>
        <rFont val="Times New Roman"/>
        <family val="1"/>
      </rPr>
      <t>AREQUIPA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</si>
  <si>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t>Fuente: MEF, consulta  19 de diciembre del 2016                                                                                                                                       Elaboración: CIE-PERUCÁMARAS</t>
  </si>
  <si>
    <t>Fuente: MEF, consulta  19 de diciembre del 2016                                                            Elaboración: CIE-PERUCÁMARAS</t>
  </si>
  <si>
    <t>Fuente: MEF, consulta  19 de diciembre del 2016                                                          Elaboración: CIE-PERUCÁMARAS</t>
  </si>
  <si>
    <t>Fuente: MEF, consulta  19 de diciembre del 2016                                                     Elaboración: CIE-PERUCÁMARAS</t>
  </si>
  <si>
    <t>Fuente: MEF, consulta  19 de diciembre del 2016                                                             Elaboración: CIE-PERUCÁMARAS</t>
  </si>
  <si>
    <t>Fuente: MEF, consulta  19 de diciembre del 2016                                                              Elaboración: CIE-PERUCÁMARAS</t>
  </si>
  <si>
    <t>Fuente: MEF, consulta  19 de diciembre del 2016                                                                 Elaboración: CIE-PERUCÁMARAS</t>
  </si>
  <si>
    <t>Fuente: MEF, consulta  19 de diciembre del 2016                                                           Elaboración: CIE-PERUCÁMARAS</t>
  </si>
  <si>
    <t>Fuente: MEF, consulta  19 de diciembre del 2016                                                                  Elaboración: CIE-PERUCÁMARAS</t>
  </si>
  <si>
    <t>Fuente: MEF, consulta  19 de diciembre del 2016                                                               Elaboración: CIE-PERUCÁMARAS</t>
  </si>
  <si>
    <t>TRANSPORTE</t>
  </si>
  <si>
    <t>AGROPECUARIA</t>
  </si>
  <si>
    <t>EDUCACION</t>
  </si>
  <si>
    <t>PESCA</t>
  </si>
  <si>
    <t>ORDEN PUBLICO Y SEGURIDAD</t>
  </si>
  <si>
    <t>DEFENSA Y SEGURIDAD NACIONAL</t>
  </si>
  <si>
    <t>INDUSTRIA</t>
  </si>
  <si>
    <t>SALUD</t>
  </si>
  <si>
    <t>SANEAMIENTO</t>
  </si>
  <si>
    <t>PLANEAMIENTO, GESTION Y RESERVA DE CONTINGENCIA</t>
  </si>
  <si>
    <t>AMBIENTE</t>
  </si>
  <si>
    <t>CULTURA Y DEPORTE</t>
  </si>
  <si>
    <t>VIVIENDA Y DESARROLLO URBANO</t>
  </si>
  <si>
    <t>ENERGIA</t>
  </si>
  <si>
    <t>JUSTICIA</t>
  </si>
  <si>
    <t>RELACIONES EXTERIORES</t>
  </si>
  <si>
    <t>COMERCIO</t>
  </si>
  <si>
    <t>TURISMO</t>
  </si>
  <si>
    <t>PROTECCION SOCIAL</t>
  </si>
  <si>
    <r>
      <rPr>
        <sz val="16"/>
        <rFont val="Times New Roman"/>
        <family val="1"/>
      </rPr>
      <t>TACNA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</si>
  <si>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r>
      <rPr>
        <sz val="16"/>
        <rFont val="Times New Roman"/>
        <family val="1"/>
      </rPr>
      <t xml:space="preserve">PUNO 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</si>
  <si>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r>
      <rPr>
        <sz val="16"/>
        <rFont val="Times New Roman"/>
        <family val="1"/>
      </rPr>
      <t xml:space="preserve">MOQUEGUA 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</si>
  <si>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r>
      <rPr>
        <sz val="16"/>
        <rFont val="Times New Roman"/>
        <family val="1"/>
      </rPr>
      <t xml:space="preserve">MADRE DE DIOS 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</si>
  <si>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r>
      <rPr>
        <sz val="16"/>
        <rFont val="Times New Roman"/>
        <family val="1"/>
      </rPr>
      <t xml:space="preserve">CUSCO </t>
    </r>
    <r>
      <rPr>
        <sz val="16"/>
        <color theme="5" tint="-0.249977111117893"/>
        <rFont val="Times New Roman"/>
        <family val="1"/>
      </rPr>
      <t>: Ejecución del presupuesto para proyectos de inversión - 2016</t>
    </r>
  </si>
  <si>
    <t>OTROS</t>
  </si>
  <si>
    <t>PLANEAMIENTO y GESTION</t>
  </si>
  <si>
    <t>Fuente: MEF, consulta  19 de diciembre del 2016                                                        Elaboración: CIE-PERUCÁMARAS</t>
  </si>
  <si>
    <t>GESTION</t>
  </si>
  <si>
    <t>El presupuesto anual modificado para el año 2016 equivale a S/ 9,160.8 millones en esta macro región para ser ejecutado en 8,172 proyectos, de los cuales solo el 12,1% (1,283 proyectos) se han ejecutado al 100% a la fecha de consulta. El 50,8% tienen un avance superior al 50% pero el 22,9% (2,432 proyectos) aún no registran ningun avance.</t>
  </si>
  <si>
    <t>Por niveles de gobierno, el Gobierno Nacional tiene el nivel de ejecución más alto equivalente al 67,3% del presupuesto a la fecha de consulta, le siguen los gobiernos locales en conjunto con un nivel de avance de 64,0%, finalmente los Gobiernos Regionales en conjunto tienen un avance de 53,7%  sobre su presupuesto.</t>
  </si>
  <si>
    <t>Lunes, 2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</si>
</sst>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5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name val="Times New Roman"/>
      <family val="1"/>
    </font>
    <font>
      <sz val="10"/>
      <color theme="5"/>
      <name val="Calibri"/>
      <family val="2"/>
      <scheme val="minor"/>
    </font>
    <font>
      <sz val="8"/>
      <name val="Arial Narrow"/>
      <family val="2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" fillId="0" borderId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/>
    <xf numFmtId="0" fontId="7" fillId="2" borderId="5" xfId="0" applyFont="1" applyFill="1" applyBorder="1" applyAlignment="1">
      <alignment vertic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17" fillId="2" borderId="0" xfId="1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8" fillId="2" borderId="0" xfId="0" applyFont="1" applyFill="1" applyBorder="1"/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3" fillId="2" borderId="0" xfId="0" applyFont="1" applyFill="1" applyBorder="1"/>
    <xf numFmtId="0" fontId="3" fillId="2" borderId="0" xfId="0" applyFont="1" applyFill="1" applyBorder="1"/>
    <xf numFmtId="0" fontId="9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top" wrapText="1"/>
    </xf>
    <xf numFmtId="0" fontId="0" fillId="2" borderId="16" xfId="0" applyFill="1" applyBorder="1"/>
    <xf numFmtId="0" fontId="3" fillId="2" borderId="15" xfId="0" applyFont="1" applyFill="1" applyBorder="1"/>
    <xf numFmtId="0" fontId="3" fillId="2" borderId="16" xfId="0" applyFont="1" applyFill="1" applyBorder="1"/>
    <xf numFmtId="164" fontId="3" fillId="2" borderId="13" xfId="1" applyNumberFormat="1" applyFont="1" applyFill="1" applyBorder="1"/>
    <xf numFmtId="172" fontId="3" fillId="2" borderId="16" xfId="0" applyNumberFormat="1" applyFont="1" applyFill="1" applyBorder="1"/>
    <xf numFmtId="172" fontId="3" fillId="2" borderId="13" xfId="0" applyNumberFormat="1" applyFont="1" applyFill="1" applyBorder="1"/>
    <xf numFmtId="0" fontId="0" fillId="2" borderId="0" xfId="0" applyFont="1" applyFill="1" applyBorder="1"/>
    <xf numFmtId="172" fontId="3" fillId="2" borderId="0" xfId="0" applyNumberFormat="1" applyFont="1" applyFill="1" applyBorder="1"/>
    <xf numFmtId="164" fontId="3" fillId="2" borderId="0" xfId="1" applyNumberFormat="1" applyFont="1" applyFill="1" applyBorder="1"/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3" fillId="3" borderId="15" xfId="0" applyFont="1" applyFill="1" applyBorder="1"/>
    <xf numFmtId="0" fontId="3" fillId="3" borderId="16" xfId="0" applyFont="1" applyFill="1" applyBorder="1"/>
    <xf numFmtId="172" fontId="3" fillId="3" borderId="13" xfId="0" applyNumberFormat="1" applyFont="1" applyFill="1" applyBorder="1"/>
    <xf numFmtId="164" fontId="3" fillId="3" borderId="13" xfId="1" applyNumberFormat="1" applyFont="1" applyFill="1" applyBorder="1"/>
    <xf numFmtId="0" fontId="3" fillId="2" borderId="13" xfId="0" applyFont="1" applyFill="1" applyBorder="1"/>
    <xf numFmtId="0" fontId="3" fillId="3" borderId="13" xfId="0" applyFont="1" applyFill="1" applyBorder="1"/>
    <xf numFmtId="0" fontId="26" fillId="4" borderId="13" xfId="0" applyFont="1" applyFill="1" applyBorder="1" applyAlignment="1">
      <alignment horizontal="center" vertical="center"/>
    </xf>
    <xf numFmtId="0" fontId="0" fillId="3" borderId="16" xfId="0" applyFill="1" applyBorder="1"/>
    <xf numFmtId="0" fontId="3" fillId="3" borderId="13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72" fontId="2" fillId="5" borderId="13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26" fillId="4" borderId="13" xfId="0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165" fontId="3" fillId="2" borderId="13" xfId="0" applyNumberFormat="1" applyFont="1" applyFill="1" applyBorder="1"/>
    <xf numFmtId="165" fontId="3" fillId="3" borderId="13" xfId="0" applyNumberFormat="1" applyFont="1" applyFill="1" applyBorder="1"/>
    <xf numFmtId="0" fontId="3" fillId="2" borderId="15" xfId="0" applyFont="1" applyFill="1" applyBorder="1" applyAlignment="1">
      <alignment vertical="center"/>
    </xf>
    <xf numFmtId="3" fontId="3" fillId="2" borderId="13" xfId="0" applyNumberFormat="1" applyFont="1" applyFill="1" applyBorder="1"/>
    <xf numFmtId="3" fontId="3" fillId="3" borderId="13" xfId="0" applyNumberFormat="1" applyFont="1" applyFill="1" applyBorder="1"/>
    <xf numFmtId="0" fontId="3" fillId="3" borderId="15" xfId="0" applyFont="1" applyFill="1" applyBorder="1" applyAlignment="1">
      <alignment horizontal="right"/>
    </xf>
    <xf numFmtId="165" fontId="3" fillId="3" borderId="13" xfId="0" applyNumberFormat="1" applyFont="1" applyFill="1" applyBorder="1" applyAlignment="1">
      <alignment vertical="center"/>
    </xf>
    <xf numFmtId="164" fontId="3" fillId="3" borderId="13" xfId="1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/>
    <xf numFmtId="0" fontId="19" fillId="2" borderId="0" xfId="0" applyFont="1" applyFill="1" applyBorder="1"/>
    <xf numFmtId="173" fontId="22" fillId="2" borderId="0" xfId="30" applyNumberFormat="1" applyFont="1" applyFill="1" applyBorder="1"/>
    <xf numFmtId="164" fontId="22" fillId="2" borderId="0" xfId="1" applyNumberFormat="1" applyFont="1" applyFill="1" applyBorder="1"/>
    <xf numFmtId="0" fontId="30" fillId="2" borderId="0" xfId="0" applyFont="1" applyFill="1" applyBorder="1"/>
    <xf numFmtId="165" fontId="20" fillId="2" borderId="0" xfId="0" applyNumberFormat="1" applyFont="1" applyFill="1" applyBorder="1"/>
    <xf numFmtId="164" fontId="20" fillId="2" borderId="0" xfId="0" applyNumberFormat="1" applyFont="1" applyFill="1" applyBorder="1" applyAlignment="1">
      <alignment horizontal="center"/>
    </xf>
    <xf numFmtId="0" fontId="31" fillId="2" borderId="0" xfId="0" applyFont="1" applyFill="1" applyBorder="1"/>
    <xf numFmtId="0" fontId="2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right" vertical="center"/>
    </xf>
    <xf numFmtId="164" fontId="12" fillId="2" borderId="0" xfId="1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top" wrapText="1"/>
    </xf>
    <xf numFmtId="3" fontId="0" fillId="2" borderId="0" xfId="0" applyNumberFormat="1" applyFill="1" applyBorder="1"/>
    <xf numFmtId="165" fontId="3" fillId="2" borderId="16" xfId="0" applyNumberFormat="1" applyFont="1" applyFill="1" applyBorder="1"/>
    <xf numFmtId="0" fontId="26" fillId="4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32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26" fillId="4" borderId="13" xfId="0" applyFont="1" applyFill="1" applyBorder="1" applyAlignment="1">
      <alignment horizontal="center" vertical="center"/>
    </xf>
    <xf numFmtId="0" fontId="4" fillId="2" borderId="0" xfId="2" applyFill="1"/>
    <xf numFmtId="0" fontId="5" fillId="2" borderId="0" xfId="0" applyFont="1" applyFill="1" applyBorder="1" applyAlignment="1">
      <alignment horizontal="left"/>
    </xf>
    <xf numFmtId="0" fontId="26" fillId="4" borderId="13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164" fontId="3" fillId="2" borderId="0" xfId="0" applyNumberFormat="1" applyFont="1" applyFill="1" applyBorder="1"/>
    <xf numFmtId="0" fontId="34" fillId="2" borderId="0" xfId="0" applyFont="1" applyFill="1" applyAlignment="1">
      <alignment horizontal="center"/>
    </xf>
    <xf numFmtId="172" fontId="34" fillId="2" borderId="0" xfId="0" applyNumberFormat="1" applyFont="1" applyFill="1" applyAlignment="1">
      <alignment horizontal="center"/>
    </xf>
    <xf numFmtId="0" fontId="34" fillId="2" borderId="0" xfId="0" applyFont="1" applyFill="1"/>
    <xf numFmtId="165" fontId="34" fillId="2" borderId="0" xfId="0" applyNumberFormat="1" applyFont="1" applyFill="1"/>
    <xf numFmtId="164" fontId="34" fillId="2" borderId="0" xfId="1" applyNumberFormat="1" applyFont="1" applyFill="1"/>
    <xf numFmtId="172" fontId="34" fillId="2" borderId="0" xfId="0" applyNumberFormat="1" applyFont="1" applyFill="1"/>
    <xf numFmtId="0" fontId="3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5" fillId="2" borderId="17" xfId="0" applyFont="1" applyFill="1" applyBorder="1" applyAlignment="1">
      <alignment horizontal="center" vertical="top" wrapText="1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wrapText="1"/>
    </xf>
    <xf numFmtId="0" fontId="36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Sur</a:t>
            </a:r>
            <a:r>
              <a:rPr lang="es-PE" sz="1100" baseline="0"/>
              <a:t> </a:t>
            </a:r>
            <a:r>
              <a:rPr lang="es-PE" sz="1100"/>
              <a:t>: Ejecución del Presupuesto para proyectos de inversión pública 2016</a:t>
            </a:r>
          </a:p>
          <a:p>
            <a:pPr>
              <a:defRPr sz="1100"/>
            </a:pPr>
            <a:r>
              <a:rPr lang="es-PE" sz="1100" b="0"/>
              <a:t>(Millones S/.)</a:t>
            </a:r>
          </a:p>
        </c:rich>
      </c:tx>
      <c:layout>
        <c:manualLayout>
          <c:xMode val="edge"/>
          <c:yMode val="edge"/>
          <c:x val="0.1324288888888889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783929660125062E-2"/>
          <c:y val="0.15408385154528551"/>
          <c:w val="0.89226102662342943"/>
          <c:h val="0.649557555616530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 Sur'!$T$11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-4.72189522891402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0571826282170612E-3"/>
                  <c:y val="-7.671951518820755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accent2">
                        <a:lumMod val="20000"/>
                        <a:lumOff val="80000"/>
                      </a:schemeClr>
                    </a:solidFill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Sur'!$R$12:$R$17</c:f>
              <c:strCache>
                <c:ptCount val="6"/>
                <c:pt idx="0">
                  <c:v>Cusco</c:v>
                </c:pt>
                <c:pt idx="1">
                  <c:v>Puno</c:v>
                </c:pt>
                <c:pt idx="2">
                  <c:v>Arequipa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'2. Sur'!$T$12:$T$17</c:f>
              <c:numCache>
                <c:formatCode>#,##0.0</c:formatCode>
                <c:ptCount val="6"/>
                <c:pt idx="0">
                  <c:v>2138.6229999999996</c:v>
                </c:pt>
                <c:pt idx="1">
                  <c:v>1251.800757</c:v>
                </c:pt>
                <c:pt idx="2">
                  <c:v>1063.5852759999998</c:v>
                </c:pt>
                <c:pt idx="3">
                  <c:v>543.16087599999992</c:v>
                </c:pt>
                <c:pt idx="4">
                  <c:v>401.63979299999994</c:v>
                </c:pt>
                <c:pt idx="5">
                  <c:v>359.021908</c:v>
                </c:pt>
              </c:numCache>
            </c:numRef>
          </c:val>
        </c:ser>
        <c:ser>
          <c:idx val="1"/>
          <c:order val="1"/>
          <c:tx>
            <c:strRef>
              <c:f>'2. Sur'!$U$11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5.061613407932937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4.7014135483886645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6173077837676086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Sur'!$R$12:$R$17</c:f>
              <c:strCache>
                <c:ptCount val="6"/>
                <c:pt idx="0">
                  <c:v>Cusco</c:v>
                </c:pt>
                <c:pt idx="1">
                  <c:v>Puno</c:v>
                </c:pt>
                <c:pt idx="2">
                  <c:v>Arequipa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'2. Sur'!$U$12:$U$17</c:f>
              <c:numCache>
                <c:formatCode>#,##0.0</c:formatCode>
                <c:ptCount val="6"/>
                <c:pt idx="0">
                  <c:v>996.79515400000037</c:v>
                </c:pt>
                <c:pt idx="1">
                  <c:v>940.1293340000002</c:v>
                </c:pt>
                <c:pt idx="2">
                  <c:v>872.27358600000002</c:v>
                </c:pt>
                <c:pt idx="3">
                  <c:v>231.06118000000004</c:v>
                </c:pt>
                <c:pt idx="4">
                  <c:v>239.75723600000003</c:v>
                </c:pt>
                <c:pt idx="5">
                  <c:v>122.92869000000002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9937024"/>
        <c:axId val="69938560"/>
      </c:barChart>
      <c:catAx>
        <c:axId val="69937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69938560"/>
        <c:crosses val="autoZero"/>
        <c:auto val="1"/>
        <c:lblAlgn val="ctr"/>
        <c:lblOffset val="100"/>
        <c:noMultiLvlLbl val="0"/>
      </c:catAx>
      <c:valAx>
        <c:axId val="6993856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69937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345665806283113"/>
          <c:y val="0.15531327771804918"/>
          <c:w val="0.29659722222222223"/>
          <c:h val="9.2053472222222224E-2"/>
        </c:manualLayout>
      </c:layout>
      <c:overlay val="0"/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100" b="1" i="0" baseline="0">
                <a:effectLst/>
              </a:rPr>
              <a:t>Macro Región Sur: Ejecución del Presupuesto para proyectos de inversión pública  por Regiones , </a:t>
            </a:r>
            <a:r>
              <a:rPr lang="es-PE" sz="1000" b="1" i="0" u="none" strike="noStrike" baseline="0">
                <a:effectLst/>
              </a:rPr>
              <a:t>2016</a:t>
            </a:r>
            <a:endParaRPr lang="es-PE" sz="1100" b="1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530358322191382E-2"/>
          <c:y val="0.23405729166666667"/>
          <c:w val="0.88763896375260021"/>
          <c:h val="0.59337013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Sur'!$S$27</c:f>
              <c:strCache>
                <c:ptCount val="1"/>
                <c:pt idx="0">
                  <c:v>Presupuesto 2016 (Millones S/)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accent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Sur'!$R$28:$R$33</c:f>
              <c:strCache>
                <c:ptCount val="6"/>
                <c:pt idx="0">
                  <c:v>Cusco</c:v>
                </c:pt>
                <c:pt idx="1">
                  <c:v>Puno</c:v>
                </c:pt>
                <c:pt idx="2">
                  <c:v>Arequipa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'2. Sur'!$S$28:$S$33</c:f>
              <c:numCache>
                <c:formatCode>#,##0.0</c:formatCode>
                <c:ptCount val="6"/>
                <c:pt idx="0">
                  <c:v>3135.418154</c:v>
                </c:pt>
                <c:pt idx="1">
                  <c:v>2191.9300910000002</c:v>
                </c:pt>
                <c:pt idx="2">
                  <c:v>1935.8588619999998</c:v>
                </c:pt>
                <c:pt idx="3">
                  <c:v>774.22205599999995</c:v>
                </c:pt>
                <c:pt idx="4">
                  <c:v>641.39702899999997</c:v>
                </c:pt>
                <c:pt idx="5">
                  <c:v>481.95059800000001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5"/>
        <c:overlap val="-25"/>
        <c:axId val="83568512"/>
        <c:axId val="83571456"/>
      </c:barChart>
      <c:lineChart>
        <c:grouping val="standard"/>
        <c:varyColors val="0"/>
        <c:ser>
          <c:idx val="1"/>
          <c:order val="1"/>
          <c:tx>
            <c:strRef>
              <c:f>'2. Sur'!$T$27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9"/>
            <c:spPr>
              <a:solidFill>
                <a:schemeClr val="accent2"/>
              </a:solidFill>
            </c:spPr>
          </c:marker>
          <c:dLbls>
            <c:dLbl>
              <c:idx val="0"/>
              <c:layout>
                <c:manualLayout>
                  <c:x val="-4.8194452796690636E-2"/>
                  <c:y val="4.0421986745463479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19445279669063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352332501909369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530016685489107E-2"/>
                  <c:y val="-4.40972222222218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530016685489017E-2"/>
                  <c:y val="-4.0421986745463479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53001668548910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Sur'!$R$28:$R$33</c:f>
              <c:strCache>
                <c:ptCount val="6"/>
                <c:pt idx="0">
                  <c:v>Cusco</c:v>
                </c:pt>
                <c:pt idx="1">
                  <c:v>Puno</c:v>
                </c:pt>
                <c:pt idx="2">
                  <c:v>Arequipa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'2. Sur'!$T$28:$T$33</c:f>
              <c:numCache>
                <c:formatCode>0.0%</c:formatCode>
                <c:ptCount val="6"/>
                <c:pt idx="0">
                  <c:v>0.68208541730603234</c:v>
                </c:pt>
                <c:pt idx="1">
                  <c:v>0.5710952015029388</c:v>
                </c:pt>
                <c:pt idx="2">
                  <c:v>0.54941261311848666</c:v>
                </c:pt>
                <c:pt idx="3">
                  <c:v>0.70155696520224164</c:v>
                </c:pt>
                <c:pt idx="4">
                  <c:v>0.62619528130056235</c:v>
                </c:pt>
                <c:pt idx="5">
                  <c:v>0.74493508149978471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582976"/>
        <c:axId val="83572992"/>
      </c:lineChart>
      <c:catAx>
        <c:axId val="83568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s-PE"/>
          </a:p>
        </c:txPr>
        <c:crossAx val="83571456"/>
        <c:crosses val="autoZero"/>
        <c:auto val="1"/>
        <c:lblAlgn val="ctr"/>
        <c:lblOffset val="100"/>
        <c:noMultiLvlLbl val="0"/>
      </c:catAx>
      <c:valAx>
        <c:axId val="83571456"/>
        <c:scaling>
          <c:orientation val="minMax"/>
          <c:max val="35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83568512"/>
        <c:crosses val="autoZero"/>
        <c:crossBetween val="between"/>
      </c:valAx>
      <c:valAx>
        <c:axId val="83572992"/>
        <c:scaling>
          <c:orientation val="minMax"/>
          <c:max val="0.8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83582976"/>
        <c:crosses val="max"/>
        <c:crossBetween val="between"/>
      </c:valAx>
      <c:catAx>
        <c:axId val="8358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835729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81689443297466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100" b="1" i="0" baseline="0">
                <a:effectLst/>
              </a:rPr>
              <a:t>Macro Región Sur: Ejecución del Presupuesto para proyectos de inversión pública por Tipo de intervención , </a:t>
            </a:r>
            <a:r>
              <a:rPr lang="es-PE" sz="1000" b="1" i="0" u="none" strike="noStrike" baseline="0">
                <a:effectLst/>
              </a:rPr>
              <a:t>2016</a:t>
            </a:r>
            <a:endParaRPr lang="es-PE" sz="11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53490006794912"/>
          <c:y val="0.30902256944444451"/>
          <c:w val="0.71486178067667938"/>
          <c:h val="0.52281458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Sur'!$T$66</c:f>
              <c:strCache>
                <c:ptCount val="1"/>
                <c:pt idx="0">
                  <c:v>Presupuesto 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90986111111111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620244231257915E-17"/>
                  <c:y val="8.4688888888888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3740277777777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305255512078541E-7"/>
                  <c:y val="5.9318750000000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Sur'!$R$67:$R$70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Administrativo</c:v>
                </c:pt>
                <c:pt idx="3">
                  <c:v>Orden y justicia</c:v>
                </c:pt>
              </c:strCache>
            </c:strRef>
          </c:cat>
          <c:val>
            <c:numRef>
              <c:f>'2. Sur'!$T$67:$T$70</c:f>
              <c:numCache>
                <c:formatCode>#,##0.0</c:formatCode>
                <c:ptCount val="4"/>
                <c:pt idx="0">
                  <c:v>5165.2078190000002</c:v>
                </c:pt>
                <c:pt idx="1">
                  <c:v>3230.8931529999995</c:v>
                </c:pt>
                <c:pt idx="2">
                  <c:v>445.24323199999998</c:v>
                </c:pt>
                <c:pt idx="3">
                  <c:v>319.43258600000001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overlap val="-25"/>
        <c:axId val="83618816"/>
        <c:axId val="83493632"/>
      </c:barChart>
      <c:lineChart>
        <c:grouping val="standard"/>
        <c:varyColors val="0"/>
        <c:ser>
          <c:idx val="1"/>
          <c:order val="1"/>
          <c:tx>
            <c:strRef>
              <c:f>'2. Sur'!$U$66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1"/>
              <c:layout>
                <c:manualLayout>
                  <c:x val="-5.279546879027156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79546879027164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Sur'!$R$67:$R$70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Administrativo</c:v>
                </c:pt>
                <c:pt idx="3">
                  <c:v>Orden y justicia</c:v>
                </c:pt>
              </c:strCache>
            </c:strRef>
          </c:cat>
          <c:val>
            <c:numRef>
              <c:f>'2. Sur'!$U$67:$U$70</c:f>
              <c:numCache>
                <c:formatCode>0.0%</c:formatCode>
                <c:ptCount val="4"/>
                <c:pt idx="0">
                  <c:v>0.66395896490065298</c:v>
                </c:pt>
                <c:pt idx="1">
                  <c:v>0.57076430469008466</c:v>
                </c:pt>
                <c:pt idx="2">
                  <c:v>0.68919799324428588</c:v>
                </c:pt>
                <c:pt idx="3">
                  <c:v>0.55537961615475251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29728"/>
        <c:axId val="83495168"/>
      </c:lineChart>
      <c:catAx>
        <c:axId val="836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3493632"/>
        <c:crosses val="autoZero"/>
        <c:auto val="1"/>
        <c:lblAlgn val="ctr"/>
        <c:lblOffset val="100"/>
        <c:noMultiLvlLbl val="0"/>
      </c:catAx>
      <c:valAx>
        <c:axId val="83493632"/>
        <c:scaling>
          <c:orientation val="minMax"/>
          <c:max val="5300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</a:defRPr>
            </a:pPr>
            <a:endParaRPr lang="es-PE"/>
          </a:p>
        </c:txPr>
        <c:crossAx val="83618816"/>
        <c:crosses val="autoZero"/>
        <c:crossBetween val="between"/>
      </c:valAx>
      <c:valAx>
        <c:axId val="83495168"/>
        <c:scaling>
          <c:orientation val="minMax"/>
          <c:max val="0.85000000000000009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83529728"/>
        <c:crosses val="max"/>
        <c:crossBetween val="between"/>
      </c:valAx>
      <c:catAx>
        <c:axId val="8352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4951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3124890439"/>
          <c:y val="0.20147465277777779"/>
          <c:w val="0.5899323786456317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Sur</a:t>
            </a:r>
            <a:r>
              <a:rPr lang="en-US" sz="1000" b="1" i="0" baseline="0">
                <a:effectLst/>
              </a:rPr>
              <a:t>: Ejecución de la inversión pública por niveles de gobierno, 2016</a:t>
            </a:r>
          </a:p>
          <a:p>
            <a:pPr>
              <a:defRPr sz="1000"/>
            </a:pPr>
            <a:r>
              <a:rPr lang="en-US" sz="1000" b="0" i="0" baseline="0">
                <a:effectLst/>
              </a:rPr>
              <a:t>(Millones S/ y  Participación %)</a:t>
            </a:r>
            <a:endParaRPr lang="es-PE" sz="10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2480397998831918"/>
          <c:y val="0.19180104166666667"/>
          <c:w val="0.3718394627535509"/>
          <c:h val="0.69758090277777773"/>
        </c:manualLayout>
      </c:layout>
      <c:doughnutChart>
        <c:varyColors val="1"/>
        <c:ser>
          <c:idx val="0"/>
          <c:order val="0"/>
          <c:tx>
            <c:strRef>
              <c:f>'2. Sur'!$T$50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 Sur'!$R$51:$R$53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'2. Sur'!$T$51:$T$53</c:f>
              <c:numCache>
                <c:formatCode>#,##0.0</c:formatCode>
                <c:ptCount val="3"/>
                <c:pt idx="0">
                  <c:v>1888.9421539999998</c:v>
                </c:pt>
                <c:pt idx="1">
                  <c:v>1037.0172009999999</c:v>
                </c:pt>
                <c:pt idx="2">
                  <c:v>2831.8722550000002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665882888784509"/>
          <c:y val="0.42318541666666665"/>
          <c:w val="8.6412898998287468E-2"/>
          <c:h val="0.239221875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23</xdr:row>
      <xdr:rowOff>100853</xdr:rowOff>
    </xdr:from>
    <xdr:to>
      <xdr:col>14</xdr:col>
      <xdr:colOff>705970</xdr:colOff>
      <xdr:row>25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42</xdr:row>
      <xdr:rowOff>155121</xdr:rowOff>
    </xdr:from>
    <xdr:to>
      <xdr:col>14</xdr:col>
      <xdr:colOff>736306</xdr:colOff>
      <xdr:row>46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61</xdr:row>
      <xdr:rowOff>155121</xdr:rowOff>
    </xdr:from>
    <xdr:to>
      <xdr:col>14</xdr:col>
      <xdr:colOff>736306</xdr:colOff>
      <xdr:row>65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771328</xdr:colOff>
      <xdr:row>5</xdr:row>
      <xdr:rowOff>26053</xdr:rowOff>
    </xdr:from>
    <xdr:to>
      <xdr:col>22</xdr:col>
      <xdr:colOff>814916</xdr:colOff>
      <xdr:row>20</xdr:row>
      <xdr:rowOff>59759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752720</xdr:colOff>
      <xdr:row>23</xdr:row>
      <xdr:rowOff>20386</xdr:rowOff>
    </xdr:from>
    <xdr:to>
      <xdr:col>22</xdr:col>
      <xdr:colOff>835212</xdr:colOff>
      <xdr:row>38</xdr:row>
      <xdr:rowOff>42886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729892</xdr:colOff>
      <xdr:row>61</xdr:row>
      <xdr:rowOff>4072</xdr:rowOff>
    </xdr:from>
    <xdr:to>
      <xdr:col>22</xdr:col>
      <xdr:colOff>842239</xdr:colOff>
      <xdr:row>76</xdr:row>
      <xdr:rowOff>26572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773107</xdr:colOff>
      <xdr:row>42</xdr:row>
      <xdr:rowOff>4321</xdr:rowOff>
    </xdr:from>
    <xdr:to>
      <xdr:col>22</xdr:col>
      <xdr:colOff>825500</xdr:colOff>
      <xdr:row>57</xdr:row>
      <xdr:rowOff>26821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Fuente:</a:t>
          </a:r>
          <a:r>
            <a:rPr lang="es-PE" sz="800" baseline="0">
              <a:latin typeface="Arial Narrow" panose="020B0606020202030204" pitchFamily="34" charset="0"/>
            </a:rPr>
            <a:t> MEF, al 19 de diciembre de 2016	                                                                                              Elaboración: CIE-PERUCÁMARAS</a:t>
          </a:r>
          <a:endParaRPr lang="es-PE" sz="80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800">
              <a:latin typeface="Arial Narrow" panose="020B0606020202030204" pitchFamily="34" charset="0"/>
            </a:rPr>
            <a:t>Fuente:</a:t>
          </a:r>
          <a:r>
            <a:rPr lang="es-PE" sz="800" baseline="0">
              <a:latin typeface="Arial Narrow" panose="020B0606020202030204" pitchFamily="34" charset="0"/>
            </a:rPr>
            <a:t> MEF, al 19 de diciembre de 2016		                                                      Elaboración: CIE-PERUCÁMARAS</a:t>
          </a:r>
          <a:endParaRPr lang="es-PE" sz="80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>
              <a:latin typeface="Arial Narrow" panose="020B0606020202030204" pitchFamily="34" charset="0"/>
            </a:rPr>
            <a:t>Fuente:</a:t>
          </a:r>
          <a:r>
            <a:rPr lang="es-PE" sz="900" baseline="0">
              <a:latin typeface="Arial Narrow" panose="020B0606020202030204" pitchFamily="34" charset="0"/>
            </a:rPr>
            <a:t> MEF, al 19 de diciembre de 2016		                                    Elaboración: CIE-PERUCÁMARAS</a:t>
          </a:r>
          <a:endParaRPr lang="es-PE" sz="90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0.90477</cdr:y>
    </cdr:from>
    <cdr:to>
      <cdr:x>1</cdr:x>
      <cdr:y>0.9908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05741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900">
              <a:latin typeface="Arial Narrow" panose="020B0606020202030204" pitchFamily="34" charset="0"/>
            </a:rPr>
            <a:t>Fuente:</a:t>
          </a:r>
          <a:r>
            <a:rPr lang="es-PE" sz="900" baseline="0">
              <a:latin typeface="Arial Narrow" panose="020B0606020202030204" pitchFamily="34" charset="0"/>
            </a:rPr>
            <a:t> MEF, al 19 de diciembre de 2016		                                    Elaboración: CIE-PERUCÁMARAS</a:t>
          </a:r>
          <a:endParaRPr lang="es-PE" sz="9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0.09801</cdr:x>
      <cdr:y>0.30515</cdr:y>
    </cdr:from>
    <cdr:to>
      <cdr:x>0.48791</cdr:x>
      <cdr:y>0.74369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9769" y="878842"/>
          <a:ext cx="2107591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solidFill>
                <a:schemeClr val="accent2"/>
              </a:solidFill>
              <a:latin typeface="Arial Narrow" panose="020B0606020202030204" pitchFamily="34" charset="0"/>
            </a:rPr>
            <a:t>S/ 5,757.8 millones, un avance de 62,9%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="1" baseline="0">
              <a:solidFill>
                <a:schemeClr val="accent2"/>
              </a:solidFill>
              <a:latin typeface="Arial Narrow" panose="020B0606020202030204" pitchFamily="34" charset="0"/>
            </a:rPr>
            <a:t>GN:    67,3%</a:t>
          </a:r>
        </a:p>
        <a:p xmlns:a="http://schemas.openxmlformats.org/drawingml/2006/main">
          <a:pPr algn="l"/>
          <a:r>
            <a:rPr lang="es-PE" sz="1000" b="1" baseline="0">
              <a:solidFill>
                <a:schemeClr val="accent2">
                  <a:lumMod val="60000"/>
                  <a:lumOff val="40000"/>
                </a:schemeClr>
              </a:solidFill>
              <a:latin typeface="Arial Narrow" panose="020B0606020202030204" pitchFamily="34" charset="0"/>
            </a:rPr>
            <a:t>GR:    53,7%</a:t>
          </a:r>
        </a:p>
        <a:p xmlns:a="http://schemas.openxmlformats.org/drawingml/2006/main">
          <a:pPr algn="l"/>
          <a:r>
            <a:rPr lang="es-PE" sz="1000" b="1" baseline="0">
              <a:solidFill>
                <a:schemeClr val="accent2">
                  <a:lumMod val="40000"/>
                  <a:lumOff val="60000"/>
                </a:schemeClr>
              </a:solidFill>
              <a:latin typeface="Arial Narrow" panose="020B0606020202030204" pitchFamily="34" charset="0"/>
            </a:rPr>
            <a:t>GL:     64,0%</a:t>
          </a:r>
          <a:endParaRPr lang="es-PE" sz="1000" b="1">
            <a:solidFill>
              <a:schemeClr val="accent2">
                <a:lumMod val="40000"/>
                <a:lumOff val="6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4</xdr:row>
      <xdr:rowOff>57150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5607" cy="816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5" t="s">
        <v>77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2:18" ht="19.5" customHeight="1" x14ac:dyDescent="0.25">
      <c r="B4" s="126" t="s">
        <v>76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2:18" ht="15" customHeight="1" x14ac:dyDescent="0.25">
      <c r="B5" s="127" t="s">
        <v>132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2:18" ht="15" customHeight="1" x14ac:dyDescent="0.25">
      <c r="J6" s="17"/>
    </row>
    <row r="7" spans="2:18" ht="15" customHeight="1" x14ac:dyDescent="0.25">
      <c r="J7" s="17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D24" sqref="D24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04" t="s">
        <v>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2:15" x14ac:dyDescent="0.25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2:15" x14ac:dyDescent="0.25"/>
    <row r="11" spans="2:15" x14ac:dyDescent="0.25"/>
    <row r="12" spans="2:15" x14ac:dyDescent="0.25">
      <c r="F12" s="89" t="s">
        <v>78</v>
      </c>
      <c r="J12" s="3">
        <v>2</v>
      </c>
    </row>
    <row r="13" spans="2:15" x14ac:dyDescent="0.25">
      <c r="G13" s="89" t="s">
        <v>79</v>
      </c>
      <c r="J13" s="3">
        <v>3</v>
      </c>
    </row>
    <row r="14" spans="2:15" x14ac:dyDescent="0.25">
      <c r="G14" s="89" t="s">
        <v>80</v>
      </c>
      <c r="J14" s="3">
        <v>4</v>
      </c>
    </row>
    <row r="15" spans="2:15" x14ac:dyDescent="0.25">
      <c r="G15" s="89" t="s">
        <v>81</v>
      </c>
      <c r="J15" s="3">
        <v>5</v>
      </c>
    </row>
    <row r="16" spans="2:15" x14ac:dyDescent="0.25">
      <c r="G16" s="89" t="s">
        <v>82</v>
      </c>
      <c r="J16" s="3">
        <v>6</v>
      </c>
    </row>
    <row r="17" spans="7:10" x14ac:dyDescent="0.25">
      <c r="G17" s="89" t="s">
        <v>83</v>
      </c>
      <c r="J17" s="3">
        <v>7</v>
      </c>
    </row>
    <row r="18" spans="7:10" x14ac:dyDescent="0.25">
      <c r="G18" s="89" t="s">
        <v>84</v>
      </c>
      <c r="J18" s="3">
        <v>8</v>
      </c>
    </row>
    <row r="19" spans="7:10" x14ac:dyDescent="0.25">
      <c r="J19" s="3"/>
    </row>
    <row r="20" spans="7:10" x14ac:dyDescent="0.25">
      <c r="J20" s="3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'2. Sur'!A1" display="Sur"/>
    <hyperlink ref="G13" location="'3. Arequipa'!A1" display="Arequipa"/>
    <hyperlink ref="G14" location="'4. Cusco'!A1" display="Cusco"/>
    <hyperlink ref="G15" location="'5. Madre de Dios'!A1" display="Madre de dios"/>
    <hyperlink ref="G16" location="'6. Moquegua'!A1" display="Moquegua"/>
    <hyperlink ref="G17" location="'7. Puno'!A1" display="Puno"/>
    <hyperlink ref="G18" location="'8. Tacna'!A1" display="Tacna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9"/>
  <sheetViews>
    <sheetView zoomScaleNormal="100" workbookViewId="0">
      <selection activeCell="C15" sqref="C15"/>
    </sheetView>
  </sheetViews>
  <sheetFormatPr baseColWidth="10" defaultColWidth="0" defaultRowHeight="15" x14ac:dyDescent="0.25"/>
  <cols>
    <col min="1" max="16" width="11.7109375" style="1" customWidth="1"/>
    <col min="17" max="22" width="11.42578125" style="99" customWidth="1"/>
    <col min="23" max="23" width="12.7109375" style="99" customWidth="1"/>
    <col min="24" max="16384" width="11.42578125" style="15" hidden="1"/>
  </cols>
  <sheetData>
    <row r="1" spans="2:23" x14ac:dyDescent="0.25">
      <c r="B1" s="113" t="s">
        <v>85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23" x14ac:dyDescent="0.2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23" x14ac:dyDescent="0.25">
      <c r="B3" s="18" t="str">
        <f>+C7</f>
        <v>1.Ejecución del de proyectos de inversión pública en la Macroregión</v>
      </c>
      <c r="C3" s="69"/>
      <c r="D3" s="69"/>
      <c r="E3" s="69"/>
      <c r="F3" s="69"/>
      <c r="G3" s="68"/>
      <c r="H3" s="69"/>
      <c r="I3" s="18" t="str">
        <f>+C63</f>
        <v>3. Ejecución de la Inversión Pública por tipo de Intervenciones  en la Macro Región</v>
      </c>
      <c r="J3" s="69"/>
      <c r="K3" s="69"/>
      <c r="L3" s="68"/>
      <c r="M3" s="21"/>
      <c r="N3" s="21"/>
      <c r="O3" s="21"/>
    </row>
    <row r="4" spans="2:23" x14ac:dyDescent="0.25">
      <c r="B4" s="18" t="str">
        <f>+C44</f>
        <v>2. Ejecución de la Inversión Pública por Niveles de Gobierno en la Macro Región</v>
      </c>
      <c r="C4" s="69"/>
      <c r="D4" s="69"/>
      <c r="E4" s="69"/>
      <c r="F4" s="69"/>
      <c r="G4" s="68"/>
      <c r="H4" s="69"/>
      <c r="I4" s="18" t="str">
        <f>+C81</f>
        <v>4. Ejecución de la Inversión Pública por sectores  en la Macro Región</v>
      </c>
      <c r="J4" s="69"/>
      <c r="K4" s="69"/>
      <c r="L4" s="68"/>
      <c r="M4" s="21"/>
      <c r="N4" s="21"/>
      <c r="O4" s="21"/>
    </row>
    <row r="6" spans="2:23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23" x14ac:dyDescent="0.25">
      <c r="B7" s="7"/>
      <c r="C7" s="106" t="s">
        <v>44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8"/>
    </row>
    <row r="8" spans="2:23" ht="15" customHeight="1" x14ac:dyDescent="0.25">
      <c r="B8" s="7"/>
      <c r="C8" s="107" t="str">
        <f>+CONCATENATE("A la fecha en la región  se vienen ejecutando S/ ",FIXED(H21,1)," millones en proyectos de inversión pública, equivalente a un avance  del ",FIXED(I21*100,1),"%. Unos 12.3 puntos porcentuales por debajo del nivel de avance alcanzado al cierre del 2015")</f>
        <v>A la fecha en la región  se vienen ejecutando S/ 5,757.8 millones en proyectos de inversión pública, equivalente a un avance  del 62.9%. Unos 12.3 puntos porcentuales por debajo del nivel de avance alcanzado al cierre del 2015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9"/>
    </row>
    <row r="9" spans="2:23" x14ac:dyDescent="0.25">
      <c r="B9" s="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9"/>
    </row>
    <row r="10" spans="2:23" x14ac:dyDescent="0.25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0"/>
    </row>
    <row r="11" spans="2:23" x14ac:dyDescent="0.25">
      <c r="B11" s="7"/>
      <c r="C11" s="2"/>
      <c r="D11" s="2"/>
      <c r="E11" s="114" t="s">
        <v>45</v>
      </c>
      <c r="F11" s="115"/>
      <c r="G11" s="115"/>
      <c r="H11" s="115"/>
      <c r="I11" s="115"/>
      <c r="J11" s="115"/>
      <c r="K11" s="115"/>
      <c r="L11" s="115"/>
      <c r="M11" s="70"/>
      <c r="N11" s="70"/>
      <c r="O11" s="10"/>
      <c r="R11" s="97" t="s">
        <v>53</v>
      </c>
      <c r="S11" s="97" t="s">
        <v>20</v>
      </c>
      <c r="T11" s="98" t="s">
        <v>51</v>
      </c>
      <c r="U11" s="97" t="s">
        <v>52</v>
      </c>
      <c r="V11" s="97" t="s">
        <v>50</v>
      </c>
      <c r="W11" s="102"/>
    </row>
    <row r="12" spans="2:23" x14ac:dyDescent="0.25">
      <c r="B12" s="7"/>
      <c r="C12" s="2"/>
      <c r="D12" s="2"/>
      <c r="E12" s="116" t="s">
        <v>12</v>
      </c>
      <c r="F12" s="116"/>
      <c r="G12" s="116"/>
      <c r="H12" s="116"/>
      <c r="I12" s="116"/>
      <c r="J12" s="116"/>
      <c r="K12" s="116"/>
      <c r="L12" s="116"/>
      <c r="M12" s="70"/>
      <c r="N12" s="70"/>
      <c r="O12" s="10"/>
      <c r="R12" s="99" t="s">
        <v>80</v>
      </c>
      <c r="S12" s="100">
        <v>3135.418154</v>
      </c>
      <c r="T12" s="100">
        <v>2138.6229999999996</v>
      </c>
      <c r="U12" s="100">
        <f t="shared" ref="U12:U17" si="0">+S12-T12</f>
        <v>996.79515400000037</v>
      </c>
      <c r="V12" s="101">
        <f t="shared" ref="V12:V17" si="1">+T12/S12</f>
        <v>0.68208541730603234</v>
      </c>
      <c r="W12" s="102"/>
    </row>
    <row r="13" spans="2:23" x14ac:dyDescent="0.25">
      <c r="B13" s="7"/>
      <c r="C13" s="2"/>
      <c r="D13" s="2"/>
      <c r="E13" s="117" t="s">
        <v>4</v>
      </c>
      <c r="F13" s="118"/>
      <c r="G13" s="122">
        <v>2016</v>
      </c>
      <c r="H13" s="122"/>
      <c r="I13" s="122"/>
      <c r="J13" s="122">
        <v>2015</v>
      </c>
      <c r="K13" s="122"/>
      <c r="L13" s="122"/>
      <c r="M13" s="70"/>
      <c r="N13" s="70"/>
      <c r="O13" s="10"/>
      <c r="R13" s="99" t="s">
        <v>83</v>
      </c>
      <c r="S13" s="100">
        <v>2191.9300910000002</v>
      </c>
      <c r="T13" s="100">
        <v>1251.800757</v>
      </c>
      <c r="U13" s="100">
        <f t="shared" si="0"/>
        <v>940.1293340000002</v>
      </c>
      <c r="V13" s="101">
        <f t="shared" si="1"/>
        <v>0.5710952015029388</v>
      </c>
      <c r="W13" s="102"/>
    </row>
    <row r="14" spans="2:23" x14ac:dyDescent="0.25">
      <c r="B14" s="7"/>
      <c r="C14" s="2"/>
      <c r="D14" s="2"/>
      <c r="E14" s="119"/>
      <c r="F14" s="120"/>
      <c r="G14" s="55" t="s">
        <v>6</v>
      </c>
      <c r="H14" s="93" t="s">
        <v>74</v>
      </c>
      <c r="I14" s="55" t="s">
        <v>8</v>
      </c>
      <c r="J14" s="55" t="s">
        <v>6</v>
      </c>
      <c r="K14" s="55" t="s">
        <v>51</v>
      </c>
      <c r="L14" s="55" t="s">
        <v>8</v>
      </c>
      <c r="M14" s="73"/>
      <c r="N14" s="91" t="s">
        <v>70</v>
      </c>
      <c r="O14" s="10"/>
      <c r="R14" s="99" t="s">
        <v>79</v>
      </c>
      <c r="S14" s="100">
        <v>1935.8588619999998</v>
      </c>
      <c r="T14" s="100">
        <v>1063.5852759999998</v>
      </c>
      <c r="U14" s="100">
        <f t="shared" si="0"/>
        <v>872.27358600000002</v>
      </c>
      <c r="V14" s="101">
        <f t="shared" si="1"/>
        <v>0.54941261311848666</v>
      </c>
      <c r="W14" s="102"/>
    </row>
    <row r="15" spans="2:23" ht="14.25" customHeight="1" x14ac:dyDescent="0.25">
      <c r="B15" s="7"/>
      <c r="C15" s="16"/>
      <c r="D15" s="95"/>
      <c r="E15" s="62" t="s">
        <v>79</v>
      </c>
      <c r="F15" s="31"/>
      <c r="G15" s="56">
        <f>+'3. Arequipa'!G19</f>
        <v>1935.8588619999998</v>
      </c>
      <c r="H15" s="56">
        <f>+'3. Arequipa'!H19</f>
        <v>1063.5852759999998</v>
      </c>
      <c r="I15" s="57">
        <f>+H15/G15</f>
        <v>0.54941261311848666</v>
      </c>
      <c r="J15" s="58">
        <f>+'3. Arequipa'!J19</f>
        <v>1863.8276900000001</v>
      </c>
      <c r="K15" s="58">
        <f>+'3. Arequipa'!K19</f>
        <v>1171.764825</v>
      </c>
      <c r="L15" s="59">
        <f t="shared" ref="L15:L21" si="2">+K15/J15</f>
        <v>0.62868731443731252</v>
      </c>
      <c r="M15" s="74"/>
      <c r="N15" s="58">
        <f>+(I15-L15)*100</f>
        <v>-7.9274701318825862</v>
      </c>
      <c r="O15" s="10"/>
      <c r="R15" s="99" t="s">
        <v>84</v>
      </c>
      <c r="S15" s="100">
        <v>774.22205599999995</v>
      </c>
      <c r="T15" s="100">
        <v>543.16087599999992</v>
      </c>
      <c r="U15" s="100">
        <f t="shared" si="0"/>
        <v>231.06118000000004</v>
      </c>
      <c r="V15" s="101">
        <f t="shared" si="1"/>
        <v>0.70155696520224164</v>
      </c>
      <c r="W15" s="102"/>
    </row>
    <row r="16" spans="2:23" x14ac:dyDescent="0.25">
      <c r="B16" s="7"/>
      <c r="C16" s="16"/>
      <c r="D16" s="95"/>
      <c r="E16" s="62" t="s">
        <v>80</v>
      </c>
      <c r="F16" s="31"/>
      <c r="G16" s="56">
        <f>+'4. Cusco'!G19</f>
        <v>3135.418154</v>
      </c>
      <c r="H16" s="56">
        <f>+'4. Cusco'!H19</f>
        <v>2138.6229999999996</v>
      </c>
      <c r="I16" s="57">
        <f t="shared" ref="I16:I21" si="3">+H16/G16</f>
        <v>0.68208541730603234</v>
      </c>
      <c r="J16" s="58">
        <f>+'4. Cusco'!J19</f>
        <v>3444.032663</v>
      </c>
      <c r="K16" s="58">
        <f>+'4. Cusco'!K19</f>
        <v>2926.2781829999999</v>
      </c>
      <c r="L16" s="59">
        <f t="shared" si="2"/>
        <v>0.84966621090376104</v>
      </c>
      <c r="M16" s="75"/>
      <c r="N16" s="58">
        <f t="shared" ref="N16:N21" si="4">+(I16-L16)*100</f>
        <v>-16.758079359772871</v>
      </c>
      <c r="O16" s="10"/>
      <c r="R16" s="99" t="s">
        <v>82</v>
      </c>
      <c r="S16" s="100">
        <v>641.39702899999997</v>
      </c>
      <c r="T16" s="100">
        <v>401.63979299999994</v>
      </c>
      <c r="U16" s="100">
        <f t="shared" si="0"/>
        <v>239.75723600000003</v>
      </c>
      <c r="V16" s="101">
        <f t="shared" si="1"/>
        <v>0.62619528130056235</v>
      </c>
      <c r="W16" s="102"/>
    </row>
    <row r="17" spans="2:23" x14ac:dyDescent="0.25">
      <c r="B17" s="7"/>
      <c r="C17" s="16"/>
      <c r="D17" s="95"/>
      <c r="E17" s="62" t="s">
        <v>86</v>
      </c>
      <c r="F17" s="31"/>
      <c r="G17" s="56">
        <f>+'5. Madre de Dios'!G19</f>
        <v>481.95059800000001</v>
      </c>
      <c r="H17" s="56">
        <f>+'5. Madre de Dios'!H19</f>
        <v>359.021908</v>
      </c>
      <c r="I17" s="57">
        <f t="shared" si="3"/>
        <v>0.74493508149978471</v>
      </c>
      <c r="J17" s="58">
        <f>+'5. Madre de Dios'!J19</f>
        <v>448.947878</v>
      </c>
      <c r="K17" s="58">
        <f>+'5. Madre de Dios'!K19</f>
        <v>387.59373900000003</v>
      </c>
      <c r="L17" s="59">
        <f t="shared" si="2"/>
        <v>0.86333794632614347</v>
      </c>
      <c r="M17" s="75"/>
      <c r="N17" s="58">
        <f t="shared" si="4"/>
        <v>-11.840286482635875</v>
      </c>
      <c r="O17" s="10"/>
      <c r="R17" s="99" t="s">
        <v>86</v>
      </c>
      <c r="S17" s="100">
        <v>481.95059800000001</v>
      </c>
      <c r="T17" s="100">
        <v>359.021908</v>
      </c>
      <c r="U17" s="100">
        <f t="shared" si="0"/>
        <v>122.92869000000002</v>
      </c>
      <c r="V17" s="101">
        <f t="shared" si="1"/>
        <v>0.74493508149978471</v>
      </c>
      <c r="W17" s="102"/>
    </row>
    <row r="18" spans="2:23" x14ac:dyDescent="0.25">
      <c r="B18" s="7"/>
      <c r="C18" s="95"/>
      <c r="D18" s="95"/>
      <c r="E18" s="62" t="s">
        <v>82</v>
      </c>
      <c r="F18" s="31"/>
      <c r="G18" s="56">
        <f>+'6. Moquegua'!G19</f>
        <v>641.39702899999997</v>
      </c>
      <c r="H18" s="56">
        <f>+'6. Moquegua'!H19</f>
        <v>401.63979299999994</v>
      </c>
      <c r="I18" s="57">
        <f t="shared" si="3"/>
        <v>0.62619528130056235</v>
      </c>
      <c r="J18" s="58">
        <f>+'6. Moquegua'!J19</f>
        <v>550.13444500000003</v>
      </c>
      <c r="K18" s="58">
        <f>+'6. Moquegua'!K19</f>
        <v>359.52907700000003</v>
      </c>
      <c r="L18" s="59">
        <f t="shared" si="2"/>
        <v>0.65352947859863608</v>
      </c>
      <c r="M18" s="70"/>
      <c r="N18" s="58">
        <f t="shared" si="4"/>
        <v>-2.7334197298073737</v>
      </c>
      <c r="O18" s="10"/>
      <c r="S18" s="102"/>
      <c r="T18" s="102"/>
      <c r="U18" s="102"/>
      <c r="V18" s="101"/>
      <c r="W18" s="102"/>
    </row>
    <row r="19" spans="2:23" x14ac:dyDescent="0.25">
      <c r="B19" s="7"/>
      <c r="C19" s="2"/>
      <c r="D19" s="2"/>
      <c r="E19" s="62" t="s">
        <v>83</v>
      </c>
      <c r="F19" s="31"/>
      <c r="G19" s="56">
        <f>+'7. Puno'!G19</f>
        <v>2191.9300910000002</v>
      </c>
      <c r="H19" s="56">
        <f>+'7. Puno'!H19</f>
        <v>1251.800757</v>
      </c>
      <c r="I19" s="57">
        <f t="shared" si="3"/>
        <v>0.5710952015029388</v>
      </c>
      <c r="J19" s="58">
        <f>+'7. Puno'!J19</f>
        <v>1873.653581</v>
      </c>
      <c r="K19" s="58">
        <f>+'7. Puno'!K19</f>
        <v>1297.4783790000001</v>
      </c>
      <c r="L19" s="59">
        <f t="shared" si="2"/>
        <v>0.69248573597447738</v>
      </c>
      <c r="M19" s="70"/>
      <c r="N19" s="58">
        <f t="shared" si="4"/>
        <v>-12.139053447153858</v>
      </c>
      <c r="O19" s="10"/>
      <c r="S19" s="102"/>
      <c r="T19" s="102"/>
      <c r="U19" s="102"/>
      <c r="V19" s="101"/>
      <c r="W19" s="102"/>
    </row>
    <row r="20" spans="2:23" x14ac:dyDescent="0.25">
      <c r="B20" s="7"/>
      <c r="C20" s="2"/>
      <c r="D20" s="2"/>
      <c r="E20" s="62" t="s">
        <v>84</v>
      </c>
      <c r="F20" s="31"/>
      <c r="G20" s="56">
        <f>+'8. Tacna'!G19</f>
        <v>774.22205599999995</v>
      </c>
      <c r="H20" s="56">
        <f>+'8. Tacna'!H19</f>
        <v>543.16087599999992</v>
      </c>
      <c r="I20" s="57">
        <f t="shared" si="3"/>
        <v>0.70155696520224164</v>
      </c>
      <c r="J20" s="58">
        <f>+'8. Tacna'!J19</f>
        <v>454.08062799999999</v>
      </c>
      <c r="K20" s="58">
        <f>+'8. Tacna'!K19</f>
        <v>347.07766500000002</v>
      </c>
      <c r="L20" s="59">
        <f t="shared" si="2"/>
        <v>0.76435250393460963</v>
      </c>
      <c r="M20" s="70"/>
      <c r="N20" s="58">
        <f t="shared" si="4"/>
        <v>-6.2795538732367984</v>
      </c>
      <c r="O20" s="10"/>
      <c r="S20" s="102"/>
      <c r="T20" s="102"/>
      <c r="U20" s="102"/>
      <c r="W20" s="102"/>
    </row>
    <row r="21" spans="2:23" x14ac:dyDescent="0.25">
      <c r="B21" s="7"/>
      <c r="C21" s="2"/>
      <c r="D21" s="2"/>
      <c r="E21" s="65" t="s">
        <v>78</v>
      </c>
      <c r="F21" s="41"/>
      <c r="G21" s="66">
        <f>SUM(G15:G20)</f>
        <v>9160.7767900000017</v>
      </c>
      <c r="H21" s="61">
        <f>SUM(H15:H20)</f>
        <v>5757.8316099999993</v>
      </c>
      <c r="I21" s="67">
        <f t="shared" si="3"/>
        <v>0.62853093596662102</v>
      </c>
      <c r="J21" s="66">
        <f>SUM(J15:J20)</f>
        <v>8634.6768849999989</v>
      </c>
      <c r="K21" s="66">
        <f>SUM(K15:K20)</f>
        <v>6489.7218679999996</v>
      </c>
      <c r="L21" s="67">
        <f t="shared" si="2"/>
        <v>0.75158827069416168</v>
      </c>
      <c r="M21" s="76"/>
      <c r="N21" s="66">
        <f t="shared" si="4"/>
        <v>-12.305733472754065</v>
      </c>
      <c r="O21" s="10"/>
    </row>
    <row r="22" spans="2:23" x14ac:dyDescent="0.25">
      <c r="B22" s="7"/>
      <c r="C22" s="2"/>
      <c r="D22" s="2"/>
      <c r="E22" s="105" t="s">
        <v>89</v>
      </c>
      <c r="F22" s="105"/>
      <c r="G22" s="105"/>
      <c r="H22" s="105"/>
      <c r="I22" s="105"/>
      <c r="J22" s="105"/>
      <c r="K22" s="105"/>
      <c r="L22" s="105"/>
      <c r="M22" s="71"/>
      <c r="N22" s="72"/>
      <c r="O22" s="10"/>
    </row>
    <row r="23" spans="2:23" x14ac:dyDescent="0.25">
      <c r="B23" s="7"/>
      <c r="C23" s="2"/>
      <c r="D23" s="2"/>
      <c r="E23" s="2"/>
      <c r="F23" s="77"/>
      <c r="G23" s="77"/>
      <c r="H23" s="77"/>
      <c r="I23" s="77"/>
      <c r="J23" s="77"/>
      <c r="K23" s="77"/>
      <c r="L23" s="70"/>
      <c r="M23" s="76"/>
      <c r="N23" s="70"/>
      <c r="O23" s="10"/>
    </row>
    <row r="24" spans="2:23" x14ac:dyDescent="0.25">
      <c r="B24" s="7"/>
      <c r="C24" s="107" t="s">
        <v>130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"/>
    </row>
    <row r="25" spans="2:23" x14ac:dyDescent="0.25">
      <c r="B25" s="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"/>
    </row>
    <row r="26" spans="2:23" ht="15" customHeight="1" x14ac:dyDescent="0.25">
      <c r="B26" s="7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10"/>
    </row>
    <row r="27" spans="2:23" x14ac:dyDescent="0.25">
      <c r="B27" s="7"/>
      <c r="C27" s="81"/>
      <c r="D27" s="81"/>
      <c r="E27" s="108" t="s">
        <v>46</v>
      </c>
      <c r="F27" s="108"/>
      <c r="G27" s="108"/>
      <c r="H27" s="108"/>
      <c r="I27" s="108"/>
      <c r="J27" s="108"/>
      <c r="K27" s="108"/>
      <c r="L27" s="108"/>
      <c r="M27" s="81"/>
      <c r="N27" s="81"/>
      <c r="O27" s="10"/>
      <c r="R27" s="99" t="s">
        <v>53</v>
      </c>
      <c r="S27" s="99" t="s">
        <v>54</v>
      </c>
      <c r="T27" s="99" t="s">
        <v>55</v>
      </c>
    </row>
    <row r="28" spans="2:23" x14ac:dyDescent="0.25">
      <c r="B28" s="7"/>
      <c r="C28" s="2"/>
      <c r="D28" s="2"/>
      <c r="E28" s="21"/>
      <c r="F28" s="109" t="s">
        <v>72</v>
      </c>
      <c r="G28" s="109"/>
      <c r="H28" s="109"/>
      <c r="I28" s="109"/>
      <c r="J28" s="109"/>
      <c r="K28" s="109"/>
      <c r="L28" s="21"/>
      <c r="M28" s="2"/>
      <c r="N28" s="2"/>
      <c r="O28" s="10"/>
      <c r="R28" s="99" t="s">
        <v>80</v>
      </c>
      <c r="S28" s="100">
        <v>3135.418154</v>
      </c>
      <c r="T28" s="101">
        <v>0.68208541730603234</v>
      </c>
    </row>
    <row r="29" spans="2:23" x14ac:dyDescent="0.25">
      <c r="B29" s="7"/>
      <c r="C29" s="2"/>
      <c r="D29" s="2"/>
      <c r="E29" s="2"/>
      <c r="F29" s="49" t="s">
        <v>27</v>
      </c>
      <c r="G29" s="50" t="s">
        <v>18</v>
      </c>
      <c r="H29" s="50" t="s">
        <v>20</v>
      </c>
      <c r="I29" s="50" t="s">
        <v>51</v>
      </c>
      <c r="J29" s="50" t="s">
        <v>26</v>
      </c>
      <c r="K29" s="50" t="s">
        <v>3</v>
      </c>
      <c r="L29" s="2"/>
      <c r="M29" s="2" t="s">
        <v>47</v>
      </c>
      <c r="N29" s="2"/>
      <c r="O29" s="10"/>
      <c r="R29" s="99" t="s">
        <v>83</v>
      </c>
      <c r="S29" s="100">
        <v>2191.9300910000002</v>
      </c>
      <c r="T29" s="101">
        <v>0.5710952015029388</v>
      </c>
    </row>
    <row r="30" spans="2:23" x14ac:dyDescent="0.25">
      <c r="B30" s="7"/>
      <c r="C30" s="2"/>
      <c r="D30" s="2"/>
      <c r="E30" s="2"/>
      <c r="F30" s="44" t="s">
        <v>28</v>
      </c>
      <c r="G30" s="32">
        <f>+I30/H30</f>
        <v>0</v>
      </c>
      <c r="H30" s="60">
        <f>+'3. Arequipa'!H58+'4. Cusco'!H58+'5. Madre de Dios'!H58+'6. Moquegua'!H58+'7. Puno'!H58+'8. Tacna'!H58</f>
        <v>559.71283300000005</v>
      </c>
      <c r="I30" s="60">
        <f>+'3. Arequipa'!I58+'4. Cusco'!I58+'5. Madre de Dios'!I58+'6. Moquegua'!I58+'7. Puno'!I58+'8. Tacna'!I58</f>
        <v>0</v>
      </c>
      <c r="J30" s="63">
        <f>+'3. Arequipa'!J58+'4. Cusco'!J58+'5. Madre de Dios'!J58+'6. Moquegua'!J58+'7. Puno'!J58+'8. Tacna'!J58</f>
        <v>2432</v>
      </c>
      <c r="K30" s="32">
        <f>+J30/J$34</f>
        <v>0.22934741606940778</v>
      </c>
      <c r="L30" s="2"/>
      <c r="M30" s="82">
        <f>SUM(J31:J33)</f>
        <v>8172</v>
      </c>
      <c r="N30" s="2"/>
      <c r="O30" s="10"/>
      <c r="R30" s="99" t="s">
        <v>79</v>
      </c>
      <c r="S30" s="100">
        <v>1935.8588619999998</v>
      </c>
      <c r="T30" s="101">
        <v>0.54941261311848666</v>
      </c>
    </row>
    <row r="31" spans="2:23" x14ac:dyDescent="0.25">
      <c r="B31" s="7"/>
      <c r="C31" s="2"/>
      <c r="D31" s="2"/>
      <c r="E31" s="2"/>
      <c r="F31" s="44" t="s">
        <v>29</v>
      </c>
      <c r="G31" s="32">
        <f t="shared" ref="G31:G34" si="5">+I31/H31</f>
        <v>0.21238489894886819</v>
      </c>
      <c r="H31" s="60">
        <f>+'3. Arequipa'!H59+'4. Cusco'!H59+'5. Madre de Dios'!H59+'6. Moquegua'!H59+'7. Puno'!H59+'8. Tacna'!H59</f>
        <v>2357.9062469999999</v>
      </c>
      <c r="I31" s="60">
        <f>+'3. Arequipa'!I59+'4. Cusco'!I59+'5. Madre de Dios'!I59+'6. Moquegua'!I59+'7. Puno'!I59+'8. Tacna'!I59</f>
        <v>500.78368</v>
      </c>
      <c r="J31" s="63">
        <f>+'3. Arequipa'!J59+'4. Cusco'!J59+'5. Madre de Dios'!J59+'6. Moquegua'!J59+'7. Puno'!J59+'8. Tacna'!J59</f>
        <v>1500</v>
      </c>
      <c r="K31" s="32">
        <f t="shared" ref="K31:K33" si="6">+J31/J$34</f>
        <v>0.14145605431912486</v>
      </c>
      <c r="L31" s="2"/>
      <c r="M31" s="2"/>
      <c r="N31" s="2"/>
      <c r="O31" s="10"/>
      <c r="R31" s="99" t="s">
        <v>84</v>
      </c>
      <c r="S31" s="100">
        <v>774.22205599999995</v>
      </c>
      <c r="T31" s="101">
        <v>0.70155696520224164</v>
      </c>
    </row>
    <row r="32" spans="2:23" x14ac:dyDescent="0.25">
      <c r="B32" s="7"/>
      <c r="C32" s="2"/>
      <c r="D32" s="2"/>
      <c r="E32" s="2"/>
      <c r="F32" s="44" t="s">
        <v>30</v>
      </c>
      <c r="G32" s="32">
        <f t="shared" si="5"/>
        <v>0.83408380666028448</v>
      </c>
      <c r="H32" s="60">
        <f>+'3. Arequipa'!H60+'4. Cusco'!H60+'5. Madre de Dios'!H60+'6. Moquegua'!H60+'7. Puno'!H60+'8. Tacna'!H60</f>
        <v>5943.4630649999972</v>
      </c>
      <c r="I32" s="60">
        <f>+'3. Arequipa'!I60+'4. Cusco'!I60+'5. Madre de Dios'!I60+'6. Moquegua'!I60+'7. Puno'!I60+'8. Tacna'!I60</f>
        <v>4957.3462979999995</v>
      </c>
      <c r="J32" s="63">
        <f>+'3. Arequipa'!J60+'4. Cusco'!J60+'5. Madre de Dios'!J60+'6. Moquegua'!J60+'7. Puno'!J60+'8. Tacna'!J60</f>
        <v>5389</v>
      </c>
      <c r="K32" s="32">
        <f t="shared" si="6"/>
        <v>0.50820445115050927</v>
      </c>
      <c r="L32" s="2"/>
      <c r="M32" s="2"/>
      <c r="N32" s="2"/>
      <c r="O32" s="10"/>
      <c r="R32" s="99" t="s">
        <v>82</v>
      </c>
      <c r="S32" s="100">
        <v>641.39702899999997</v>
      </c>
      <c r="T32" s="101">
        <v>0.62619528130056235</v>
      </c>
    </row>
    <row r="33" spans="2:20" x14ac:dyDescent="0.25">
      <c r="B33" s="7"/>
      <c r="C33" s="2"/>
      <c r="D33" s="2"/>
      <c r="E33" s="2"/>
      <c r="F33" s="44" t="s">
        <v>31</v>
      </c>
      <c r="G33" s="32">
        <f t="shared" si="5"/>
        <v>1.0000238709637272</v>
      </c>
      <c r="H33" s="60">
        <f>+'3. Arequipa'!H61+'4. Cusco'!H61+'5. Madre de Dios'!H61+'6. Moquegua'!H61+'7. Puno'!H61+'8. Tacna'!H61</f>
        <v>299.69464500000004</v>
      </c>
      <c r="I33" s="60">
        <f>+'3. Arequipa'!I61+'4. Cusco'!I61+'5. Madre de Dios'!I61+'6. Moquegua'!I61+'7. Puno'!I61+'8. Tacna'!I61</f>
        <v>299.70179900000005</v>
      </c>
      <c r="J33" s="63">
        <f>+'3. Arequipa'!J61+'4. Cusco'!J61+'5. Madre de Dios'!J61+'6. Moquegua'!J61+'7. Puno'!J61+'8. Tacna'!J61</f>
        <v>1283</v>
      </c>
      <c r="K33" s="32">
        <f t="shared" si="6"/>
        <v>0.12099207846095814</v>
      </c>
      <c r="L33" s="2"/>
      <c r="M33" s="2"/>
      <c r="N33" s="2"/>
      <c r="O33" s="10"/>
      <c r="R33" s="99" t="s">
        <v>86</v>
      </c>
      <c r="S33" s="100">
        <v>481.95059800000001</v>
      </c>
      <c r="T33" s="101">
        <v>0.74493508149978471</v>
      </c>
    </row>
    <row r="34" spans="2:20" x14ac:dyDescent="0.25">
      <c r="B34" s="7"/>
      <c r="C34" s="2"/>
      <c r="D34" s="2"/>
      <c r="E34" s="2"/>
      <c r="F34" s="45" t="s">
        <v>0</v>
      </c>
      <c r="G34" s="43">
        <f t="shared" si="5"/>
        <v>0.6285309541965165</v>
      </c>
      <c r="H34" s="61">
        <f t="shared" ref="H34:J34" si="7">SUM(H30:H33)</f>
        <v>9160.7767899999963</v>
      </c>
      <c r="I34" s="61">
        <f t="shared" si="7"/>
        <v>5757.8317769999994</v>
      </c>
      <c r="J34" s="64">
        <f t="shared" si="7"/>
        <v>10604</v>
      </c>
      <c r="K34" s="43">
        <f>SUM(K30:K33)</f>
        <v>1</v>
      </c>
      <c r="L34" s="2"/>
      <c r="M34" s="2"/>
      <c r="N34" s="2"/>
      <c r="O34" s="10"/>
      <c r="S34" s="102"/>
      <c r="T34" s="101"/>
    </row>
    <row r="35" spans="2:20" x14ac:dyDescent="0.25">
      <c r="B35" s="7"/>
      <c r="C35" s="2"/>
      <c r="D35" s="2"/>
      <c r="E35" s="21"/>
      <c r="F35" s="105" t="s">
        <v>90</v>
      </c>
      <c r="G35" s="105"/>
      <c r="H35" s="105"/>
      <c r="I35" s="105"/>
      <c r="J35" s="105"/>
      <c r="K35" s="105"/>
      <c r="L35" s="21"/>
      <c r="M35" s="2"/>
      <c r="N35" s="2"/>
      <c r="O35" s="10"/>
      <c r="S35" s="102"/>
      <c r="T35" s="101"/>
    </row>
    <row r="36" spans="2:20" x14ac:dyDescent="0.25">
      <c r="B36" s="7"/>
      <c r="C36" s="2"/>
      <c r="D36" s="2"/>
      <c r="E36" s="16"/>
      <c r="F36" s="22"/>
      <c r="G36" s="23"/>
      <c r="H36" s="23"/>
      <c r="I36" s="79"/>
      <c r="J36" s="24"/>
      <c r="K36" s="38"/>
      <c r="L36" s="2"/>
      <c r="M36" s="2"/>
      <c r="N36" s="2"/>
      <c r="O36" s="10"/>
    </row>
    <row r="37" spans="2:20" x14ac:dyDescent="0.25">
      <c r="B37" s="7"/>
      <c r="C37" s="2"/>
      <c r="D37" s="2"/>
      <c r="E37" s="2"/>
      <c r="F37" s="78"/>
      <c r="G37" s="25"/>
      <c r="H37" s="25"/>
      <c r="I37" s="80"/>
      <c r="J37" s="26"/>
      <c r="K37" s="38"/>
      <c r="L37" s="2"/>
      <c r="M37" s="2"/>
      <c r="N37" s="2"/>
      <c r="O37" s="10"/>
    </row>
    <row r="38" spans="2:20" x14ac:dyDescent="0.25">
      <c r="B38" s="7"/>
      <c r="C38" s="2"/>
      <c r="D38" s="2"/>
      <c r="E38" s="2"/>
      <c r="F38" s="27"/>
      <c r="G38" s="27"/>
      <c r="H38" s="27"/>
      <c r="I38" s="27"/>
      <c r="J38" s="27"/>
      <c r="K38" s="38"/>
      <c r="L38" s="2"/>
      <c r="M38" s="2"/>
      <c r="N38" s="2"/>
      <c r="O38" s="10"/>
    </row>
    <row r="39" spans="2:20" x14ac:dyDescent="0.25">
      <c r="B39" s="7"/>
      <c r="C39" s="2"/>
      <c r="D39" s="2"/>
      <c r="E39" s="2"/>
      <c r="F39" s="38"/>
      <c r="G39" s="38"/>
      <c r="H39" s="38"/>
      <c r="I39" s="38"/>
      <c r="J39" s="38"/>
      <c r="K39" s="38"/>
      <c r="L39" s="2"/>
      <c r="M39" s="2"/>
      <c r="N39" s="2"/>
      <c r="O39" s="10"/>
    </row>
    <row r="40" spans="2:20" x14ac:dyDescent="0.2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3" spans="2:20" x14ac:dyDescent="0.2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2:20" x14ac:dyDescent="0.25">
      <c r="B44" s="7"/>
      <c r="C44" s="106" t="s">
        <v>48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8"/>
    </row>
    <row r="45" spans="2:20" x14ac:dyDescent="0.25">
      <c r="B45" s="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8"/>
    </row>
    <row r="46" spans="2:20" ht="15" customHeight="1" x14ac:dyDescent="0.25">
      <c r="B46" s="7"/>
      <c r="C46" s="107" t="s">
        <v>131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9"/>
    </row>
    <row r="47" spans="2:20" x14ac:dyDescent="0.25">
      <c r="B47" s="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9"/>
    </row>
    <row r="48" spans="2:20" x14ac:dyDescent="0.25"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0"/>
    </row>
    <row r="49" spans="2:22" x14ac:dyDescent="0.25">
      <c r="B49" s="7"/>
      <c r="C49" s="2"/>
      <c r="D49" s="2"/>
      <c r="E49" s="114" t="s">
        <v>43</v>
      </c>
      <c r="F49" s="115"/>
      <c r="G49" s="115"/>
      <c r="H49" s="115"/>
      <c r="I49" s="115"/>
      <c r="J49" s="115"/>
      <c r="K49" s="115"/>
      <c r="L49" s="115"/>
      <c r="M49" s="2"/>
      <c r="N49" s="2"/>
      <c r="O49" s="10"/>
    </row>
    <row r="50" spans="2:22" x14ac:dyDescent="0.25">
      <c r="B50" s="7"/>
      <c r="C50" s="2"/>
      <c r="D50" s="2"/>
      <c r="E50" s="116" t="s">
        <v>12</v>
      </c>
      <c r="F50" s="116"/>
      <c r="G50" s="116"/>
      <c r="H50" s="116"/>
      <c r="I50" s="116"/>
      <c r="J50" s="116"/>
      <c r="K50" s="116"/>
      <c r="L50" s="116"/>
      <c r="M50" s="2"/>
      <c r="N50" s="2"/>
      <c r="O50" s="10"/>
      <c r="R50" s="103" t="s">
        <v>56</v>
      </c>
      <c r="S50" s="103" t="s">
        <v>20</v>
      </c>
      <c r="T50" s="103" t="s">
        <v>51</v>
      </c>
      <c r="U50" s="99" t="s">
        <v>57</v>
      </c>
    </row>
    <row r="51" spans="2:22" x14ac:dyDescent="0.25">
      <c r="B51" s="7"/>
      <c r="C51" s="2"/>
      <c r="D51" s="2"/>
      <c r="E51" s="117" t="s">
        <v>11</v>
      </c>
      <c r="F51" s="118"/>
      <c r="G51" s="122">
        <v>2016</v>
      </c>
      <c r="H51" s="122"/>
      <c r="I51" s="122"/>
      <c r="J51" s="122">
        <v>2015</v>
      </c>
      <c r="K51" s="122"/>
      <c r="L51" s="122"/>
      <c r="M51" s="2"/>
      <c r="N51" s="2"/>
      <c r="O51" s="10"/>
      <c r="R51" s="99" t="s">
        <v>58</v>
      </c>
      <c r="S51" s="100">
        <v>2807.4769719999999</v>
      </c>
      <c r="T51" s="100">
        <v>1888.9421539999998</v>
      </c>
      <c r="U51" s="102">
        <f>+S51-T51</f>
        <v>918.53481800000009</v>
      </c>
      <c r="V51" s="101">
        <f>+T51/S51</f>
        <v>0.67282552015176422</v>
      </c>
    </row>
    <row r="52" spans="2:22" x14ac:dyDescent="0.25">
      <c r="B52" s="7"/>
      <c r="C52" s="2"/>
      <c r="D52" s="2"/>
      <c r="E52" s="119"/>
      <c r="F52" s="120"/>
      <c r="G52" s="55" t="s">
        <v>6</v>
      </c>
      <c r="H52" s="55" t="s">
        <v>51</v>
      </c>
      <c r="I52" s="55" t="s">
        <v>8</v>
      </c>
      <c r="J52" s="55" t="s">
        <v>6</v>
      </c>
      <c r="K52" s="55" t="s">
        <v>51</v>
      </c>
      <c r="L52" s="55" t="s">
        <v>8</v>
      </c>
      <c r="M52" s="2"/>
      <c r="N52" s="92" t="s">
        <v>70</v>
      </c>
      <c r="O52" s="10"/>
      <c r="R52" s="99" t="s">
        <v>59</v>
      </c>
      <c r="S52" s="100">
        <v>1930.7530949999996</v>
      </c>
      <c r="T52" s="100">
        <v>1037.0172009999999</v>
      </c>
      <c r="U52" s="102">
        <f t="shared" ref="U52:U53" si="8">+S52-T52</f>
        <v>893.73589399999969</v>
      </c>
      <c r="V52" s="101">
        <f t="shared" ref="V52:V53" si="9">+T52/S52</f>
        <v>0.53710503102935603</v>
      </c>
    </row>
    <row r="53" spans="2:22" x14ac:dyDescent="0.25">
      <c r="B53" s="7"/>
      <c r="C53" s="2"/>
      <c r="D53" s="2"/>
      <c r="E53" s="62" t="s">
        <v>9</v>
      </c>
      <c r="F53" s="31"/>
      <c r="G53" s="56">
        <f>+'3. Arequipa'!G16+'4. Cusco'!G16+'5. Madre de Dios'!G16+'6. Moquegua'!G16+'7. Puno'!G16+'8. Tacna'!G16</f>
        <v>2807.4769719999999</v>
      </c>
      <c r="H53" s="56">
        <f>+'3. Arequipa'!H16+'4. Cusco'!H16+'5. Madre de Dios'!H16+'6. Moquegua'!H16+'7. Puno'!H16+'8. Tacna'!H16</f>
        <v>1888.9421539999998</v>
      </c>
      <c r="I53" s="57">
        <f>+H53/G53</f>
        <v>0.67282552015176422</v>
      </c>
      <c r="J53" s="58">
        <f>+'3. Arequipa'!J16+'4. Cusco'!J16+'5. Madre de Dios'!J16+'6. Moquegua'!J16+'7. Puno'!J16+'8. Tacna'!J16</f>
        <v>2589.2861669999998</v>
      </c>
      <c r="K53" s="58">
        <f>+'3. Arequipa'!K16+'4. Cusco'!K16+'5. Madre de Dios'!K16+'6. Moquegua'!K16+'7. Puno'!K16+'8. Tacna'!K16</f>
        <v>2285.9254550000001</v>
      </c>
      <c r="L53" s="59">
        <f t="shared" ref="L53:L56" si="10">+K53/J53</f>
        <v>0.88284002136717099</v>
      </c>
      <c r="M53" s="2"/>
      <c r="N53" s="58">
        <f>+(I53-L53)*100</f>
        <v>-21.001450121540678</v>
      </c>
      <c r="O53" s="10"/>
      <c r="R53" s="99" t="s">
        <v>60</v>
      </c>
      <c r="S53" s="100">
        <v>4422.5467230000004</v>
      </c>
      <c r="T53" s="100">
        <v>2831.8722550000002</v>
      </c>
      <c r="U53" s="102">
        <f t="shared" si="8"/>
        <v>1590.6744680000002</v>
      </c>
      <c r="V53" s="101">
        <f t="shared" si="9"/>
        <v>0.64032613613158651</v>
      </c>
    </row>
    <row r="54" spans="2:22" x14ac:dyDescent="0.25">
      <c r="B54" s="7"/>
      <c r="C54" s="2"/>
      <c r="D54" s="2"/>
      <c r="E54" s="62" t="s">
        <v>10</v>
      </c>
      <c r="F54" s="31"/>
      <c r="G54" s="56">
        <f>+'3. Arequipa'!G17+'4. Cusco'!G17+'5. Madre de Dios'!G17+'6. Moquegua'!G17+'7. Puno'!G17+'8. Tacna'!G17</f>
        <v>1930.7530949999996</v>
      </c>
      <c r="H54" s="56">
        <f>+'3. Arequipa'!H17+'4. Cusco'!H17+'5. Madre de Dios'!H17+'6. Moquegua'!H17+'7. Puno'!H17+'8. Tacna'!H17</f>
        <v>1037.0172009999999</v>
      </c>
      <c r="I54" s="57">
        <f t="shared" ref="I54:I56" si="11">+H54/G54</f>
        <v>0.53710503102935603</v>
      </c>
      <c r="J54" s="58">
        <f>+'3. Arequipa'!J17+'4. Cusco'!J17+'5. Madre de Dios'!J17+'6. Moquegua'!J17+'7. Puno'!J17+'8. Tacna'!J17</f>
        <v>1582.9078210000002</v>
      </c>
      <c r="K54" s="58">
        <f>+'3. Arequipa'!K17+'4. Cusco'!K17+'5. Madre de Dios'!K17+'6. Moquegua'!K17+'7. Puno'!K17+'8. Tacna'!K17</f>
        <v>1186.1235380000001</v>
      </c>
      <c r="L54" s="59">
        <f t="shared" si="10"/>
        <v>0.74933203454050012</v>
      </c>
      <c r="M54" s="2"/>
      <c r="N54" s="58">
        <f t="shared" ref="N54:N56" si="12">+(I54-L54)*100</f>
        <v>-21.222700351114408</v>
      </c>
      <c r="O54" s="10"/>
    </row>
    <row r="55" spans="2:22" x14ac:dyDescent="0.25">
      <c r="B55" s="7"/>
      <c r="C55" s="2"/>
      <c r="D55" s="2"/>
      <c r="E55" s="62" t="s">
        <v>5</v>
      </c>
      <c r="F55" s="31"/>
      <c r="G55" s="56">
        <f>+'3. Arequipa'!G18+'4. Cusco'!G18+'5. Madre de Dios'!G18+'6. Moquegua'!G18+'7. Puno'!G18+'8. Tacna'!G18</f>
        <v>4422.5467230000004</v>
      </c>
      <c r="H55" s="56">
        <f>+'3. Arequipa'!H18+'4. Cusco'!H18+'5. Madre de Dios'!H18+'6. Moquegua'!H18+'7. Puno'!H18+'8. Tacna'!H18</f>
        <v>2831.8722550000002</v>
      </c>
      <c r="I55" s="57">
        <f t="shared" si="11"/>
        <v>0.64032613613158651</v>
      </c>
      <c r="J55" s="58">
        <f>+'3. Arequipa'!J18+'4. Cusco'!J18+'5. Madre de Dios'!J18+'6. Moquegua'!J18+'7. Puno'!J18+'8. Tacna'!J18</f>
        <v>4462.4828970000008</v>
      </c>
      <c r="K55" s="58">
        <f>+'3. Arequipa'!K18+'4. Cusco'!K18+'5. Madre de Dios'!K18+'6. Moquegua'!K18+'7. Puno'!K18+'8. Tacna'!K18</f>
        <v>3017.6728749999997</v>
      </c>
      <c r="L55" s="59">
        <f t="shared" si="10"/>
        <v>0.67623180741570899</v>
      </c>
      <c r="M55" s="2"/>
      <c r="N55" s="58">
        <f t="shared" si="12"/>
        <v>-3.5905671284122476</v>
      </c>
      <c r="O55" s="10"/>
      <c r="S55" s="102">
        <f>+SUM(T51:T53)</f>
        <v>5757.8316100000002</v>
      </c>
      <c r="T55" s="101">
        <f>+T51/$S$55</f>
        <v>0.32806484835703625</v>
      </c>
    </row>
    <row r="56" spans="2:22" x14ac:dyDescent="0.25">
      <c r="B56" s="7"/>
      <c r="C56" s="2"/>
      <c r="D56" s="2"/>
      <c r="E56" s="65" t="s">
        <v>0</v>
      </c>
      <c r="F56" s="41"/>
      <c r="G56" s="66">
        <f t="shared" ref="G56:H56" si="13">SUM(G53:G55)</f>
        <v>9160.7767899999999</v>
      </c>
      <c r="H56" s="61">
        <f t="shared" si="13"/>
        <v>5757.8316100000002</v>
      </c>
      <c r="I56" s="67">
        <f t="shared" si="11"/>
        <v>0.62853093596662124</v>
      </c>
      <c r="J56" s="66">
        <f t="shared" ref="J56:K56" si="14">SUM(J53:J55)</f>
        <v>8634.6768850000008</v>
      </c>
      <c r="K56" s="66">
        <f t="shared" si="14"/>
        <v>6489.7218680000005</v>
      </c>
      <c r="L56" s="67">
        <f t="shared" si="10"/>
        <v>0.75158827069416156</v>
      </c>
      <c r="M56" s="2"/>
      <c r="N56" s="58">
        <f t="shared" si="12"/>
        <v>-12.305733472754032</v>
      </c>
      <c r="O56" s="10"/>
      <c r="T56" s="101">
        <f t="shared" ref="T56:T57" si="15">+T52/$S$55</f>
        <v>0.18010551041453604</v>
      </c>
    </row>
    <row r="57" spans="2:22" x14ac:dyDescent="0.25">
      <c r="B57" s="7"/>
      <c r="C57" s="2"/>
      <c r="D57" s="2"/>
      <c r="E57" s="105" t="s">
        <v>88</v>
      </c>
      <c r="F57" s="105"/>
      <c r="G57" s="105"/>
      <c r="H57" s="105"/>
      <c r="I57" s="105"/>
      <c r="J57" s="105"/>
      <c r="K57" s="105"/>
      <c r="L57" s="105"/>
      <c r="M57" s="2"/>
      <c r="N57" s="2"/>
      <c r="O57" s="10"/>
      <c r="T57" s="101">
        <f t="shared" si="15"/>
        <v>0.49182964122842771</v>
      </c>
    </row>
    <row r="58" spans="2:22" x14ac:dyDescent="0.25"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0"/>
    </row>
    <row r="59" spans="2:22" x14ac:dyDescent="0.25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2" spans="2:22" x14ac:dyDescent="0.25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2:22" x14ac:dyDescent="0.25">
      <c r="B63" s="7"/>
      <c r="C63" s="106" t="s">
        <v>49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8"/>
    </row>
    <row r="64" spans="2:22" x14ac:dyDescent="0.25">
      <c r="B64" s="7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8"/>
    </row>
    <row r="65" spans="2:21" ht="15" customHeight="1" x14ac:dyDescent="0.25">
      <c r="B65" s="7"/>
      <c r="C65" s="107" t="str">
        <f>+CONCATENATE("La ejecución de los proyectos productivos tiene un avance de ", E71, "%, mientras que para los proyectos del tipo social el avance es de", E72, "%. Cabe resaltar que estos dos tipos de proyectos absorben el ",  E73, "% del presupuesto total en esta región.")</f>
        <v>La ejecución de los proyectos productivos tiene un avance de 66.4%, mientras que para los proyectos del tipo social el avance es de57.1%. Cabe resaltar que estos dos tipos de proyectos absorben el 91.7% del presupuesto total en esta región.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9"/>
    </row>
    <row r="66" spans="2:21" x14ac:dyDescent="0.25">
      <c r="B66" s="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9"/>
      <c r="R66" s="99" t="s">
        <v>34</v>
      </c>
      <c r="T66" s="99" t="s">
        <v>75</v>
      </c>
      <c r="U66" s="99" t="s">
        <v>55</v>
      </c>
    </row>
    <row r="67" spans="2:21" x14ac:dyDescent="0.25"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0"/>
      <c r="R67" s="99" t="s">
        <v>13</v>
      </c>
      <c r="T67" s="100">
        <v>5165.2078190000002</v>
      </c>
      <c r="U67" s="101">
        <v>0.66395896490065298</v>
      </c>
    </row>
    <row r="68" spans="2:21" x14ac:dyDescent="0.25">
      <c r="B68" s="7"/>
      <c r="C68" s="2"/>
      <c r="D68" s="2"/>
      <c r="E68" s="121" t="s">
        <v>40</v>
      </c>
      <c r="F68" s="121"/>
      <c r="G68" s="121"/>
      <c r="H68" s="121"/>
      <c r="I68" s="121"/>
      <c r="J68" s="121"/>
      <c r="K68" s="121"/>
      <c r="L68" s="121"/>
      <c r="M68" s="2"/>
      <c r="N68" s="2"/>
      <c r="O68" s="10"/>
      <c r="R68" s="99" t="s">
        <v>14</v>
      </c>
      <c r="T68" s="100">
        <v>3230.8931529999995</v>
      </c>
      <c r="U68" s="101">
        <v>0.57076430469008466</v>
      </c>
    </row>
    <row r="69" spans="2:21" x14ac:dyDescent="0.25">
      <c r="B69" s="7"/>
      <c r="C69" s="2"/>
      <c r="D69" s="2"/>
      <c r="E69" s="21"/>
      <c r="F69" s="109" t="s">
        <v>1</v>
      </c>
      <c r="G69" s="109"/>
      <c r="H69" s="109"/>
      <c r="I69" s="109"/>
      <c r="J69" s="109"/>
      <c r="K69" s="109"/>
      <c r="L69" s="21"/>
      <c r="M69" s="2"/>
      <c r="N69" s="2"/>
      <c r="O69" s="10"/>
      <c r="R69" s="99" t="s">
        <v>15</v>
      </c>
      <c r="T69" s="100">
        <v>445.24323199999998</v>
      </c>
      <c r="U69" s="101">
        <v>0.68919799324428588</v>
      </c>
    </row>
    <row r="70" spans="2:21" x14ac:dyDescent="0.25">
      <c r="B70" s="7"/>
      <c r="C70" s="2"/>
      <c r="D70" s="2"/>
      <c r="E70" s="21"/>
      <c r="F70" s="112" t="s">
        <v>34</v>
      </c>
      <c r="G70" s="112"/>
      <c r="H70" s="50" t="s">
        <v>6</v>
      </c>
      <c r="I70" s="50" t="s">
        <v>16</v>
      </c>
      <c r="J70" s="50" t="s">
        <v>17</v>
      </c>
      <c r="K70" s="50" t="s">
        <v>18</v>
      </c>
      <c r="L70" s="21"/>
      <c r="M70" s="2"/>
      <c r="N70" s="2"/>
      <c r="O70" s="10"/>
      <c r="R70" s="99" t="s">
        <v>25</v>
      </c>
      <c r="T70" s="100">
        <v>319.43258600000001</v>
      </c>
      <c r="U70" s="101">
        <v>0.55537961615475251</v>
      </c>
    </row>
    <row r="71" spans="2:21" x14ac:dyDescent="0.25">
      <c r="B71" s="7"/>
      <c r="C71" s="2"/>
      <c r="D71" s="2"/>
      <c r="E71" s="95" t="str">
        <f>+FIXED(K71*100,1)</f>
        <v>66.4</v>
      </c>
      <c r="F71" s="30" t="s">
        <v>13</v>
      </c>
      <c r="G71" s="31"/>
      <c r="H71" s="83">
        <f>+'3. Arequipa'!H28+'4. Cusco'!H28+'5. Madre de Dios'!H28+'6. Moquegua'!H28+'7. Puno'!H28+'8. Tacna'!H28</f>
        <v>5165.2078190000002</v>
      </c>
      <c r="I71" s="32">
        <f>+H71/H$75</f>
        <v>0.56383950154078577</v>
      </c>
      <c r="J71" s="60">
        <f>+'3. Arequipa'!J28+'4. Cusco'!J28+'5. Madre de Dios'!J28+'6. Moquegua'!J28+'7. Puno'!J28+'8. Tacna'!J28</f>
        <v>3429.4860369999997</v>
      </c>
      <c r="K71" s="32">
        <f>+J71/H71</f>
        <v>0.66395896490065298</v>
      </c>
      <c r="L71" s="21"/>
      <c r="M71" s="2"/>
      <c r="N71" s="2"/>
      <c r="O71" s="10"/>
    </row>
    <row r="72" spans="2:21" x14ac:dyDescent="0.25">
      <c r="B72" s="7"/>
      <c r="C72" s="2"/>
      <c r="D72" s="2"/>
      <c r="E72" s="95" t="str">
        <f>+FIXED(K72*100,1)</f>
        <v>57.1</v>
      </c>
      <c r="F72" s="30" t="s">
        <v>14</v>
      </c>
      <c r="G72" s="31"/>
      <c r="H72" s="83">
        <f>+'3. Arequipa'!H29+'4. Cusco'!H29+'5. Madre de Dios'!H29+'6. Moquegua'!H29+'7. Puno'!H29+'8. Tacna'!H29</f>
        <v>3230.8931529999995</v>
      </c>
      <c r="I72" s="32">
        <f t="shared" ref="I72:I74" si="16">+H72/H$75</f>
        <v>0.35268768435957043</v>
      </c>
      <c r="J72" s="60">
        <f>+'3. Arequipa'!J29+'4. Cusco'!J29+'5. Madre de Dios'!J29+'6. Moquegua'!J29+'7. Puno'!J29+'8. Tacna'!J29</f>
        <v>1844.0784839999999</v>
      </c>
      <c r="K72" s="32">
        <f t="shared" ref="K72:K75" si="17">+J72/H72</f>
        <v>0.57076430469008466</v>
      </c>
      <c r="L72" s="21"/>
      <c r="M72" s="2"/>
      <c r="N72" s="2"/>
      <c r="O72" s="10"/>
    </row>
    <row r="73" spans="2:21" x14ac:dyDescent="0.25">
      <c r="B73" s="7"/>
      <c r="C73" s="2"/>
      <c r="D73" s="2"/>
      <c r="E73" s="95" t="str">
        <f>+FIXED((I71+I72)*100,1)</f>
        <v>91.7</v>
      </c>
      <c r="F73" s="30" t="s">
        <v>25</v>
      </c>
      <c r="G73" s="31"/>
      <c r="H73" s="83">
        <f>+'3. Arequipa'!H30+'4. Cusco'!H30+'5. Madre de Dios'!H30+'6. Moquegua'!H30+'7. Puno'!H30+'8. Tacna'!H30</f>
        <v>319.43258600000001</v>
      </c>
      <c r="I73" s="32">
        <f t="shared" si="16"/>
        <v>3.4869596031277164E-2</v>
      </c>
      <c r="J73" s="60">
        <f>+'3. Arequipa'!J30+'4. Cusco'!J30+'5. Madre de Dios'!J30+'6. Moquegua'!J30+'7. Puno'!J30+'8. Tacna'!J30</f>
        <v>177.40634699999998</v>
      </c>
      <c r="K73" s="32">
        <f t="shared" si="17"/>
        <v>0.55537961615475251</v>
      </c>
      <c r="L73" s="21"/>
      <c r="M73" s="2"/>
      <c r="N73" s="2"/>
      <c r="O73" s="10"/>
    </row>
    <row r="74" spans="2:21" x14ac:dyDescent="0.25">
      <c r="B74" s="7"/>
      <c r="C74" s="2"/>
      <c r="D74" s="2"/>
      <c r="E74" s="21"/>
      <c r="F74" s="30" t="s">
        <v>15</v>
      </c>
      <c r="G74" s="31"/>
      <c r="H74" s="83">
        <f>+'3. Arequipa'!H31+'4. Cusco'!H31+'5. Madre de Dios'!H31+'6. Moquegua'!H31+'7. Puno'!H31+'8. Tacna'!H31</f>
        <v>445.24323199999998</v>
      </c>
      <c r="I74" s="32">
        <f t="shared" si="16"/>
        <v>4.8603218068366434E-2</v>
      </c>
      <c r="J74" s="60">
        <f>+'3. Arequipa'!J31+'4. Cusco'!J31+'5. Madre de Dios'!J31+'6. Moquegua'!J31+'7. Puno'!J31+'8. Tacna'!J31</f>
        <v>306.86074200000002</v>
      </c>
      <c r="K74" s="32">
        <f t="shared" si="17"/>
        <v>0.68919799324428588</v>
      </c>
      <c r="L74" s="21"/>
      <c r="M74" s="2"/>
      <c r="N74" s="2"/>
      <c r="O74" s="10"/>
    </row>
    <row r="75" spans="2:21" x14ac:dyDescent="0.25">
      <c r="B75" s="7"/>
      <c r="C75" s="2"/>
      <c r="D75" s="2"/>
      <c r="E75" s="21"/>
      <c r="F75" s="40" t="s">
        <v>0</v>
      </c>
      <c r="G75" s="41"/>
      <c r="H75" s="61">
        <f>SUM(H71:H74)</f>
        <v>9160.7767900000017</v>
      </c>
      <c r="I75" s="43">
        <f>SUM(I71:I74)</f>
        <v>0.99999999999999978</v>
      </c>
      <c r="J75" s="61">
        <f>SUM(J71:J74)</f>
        <v>5757.8316099999993</v>
      </c>
      <c r="K75" s="43">
        <f t="shared" si="17"/>
        <v>0.62853093596662102</v>
      </c>
      <c r="L75" s="21"/>
      <c r="M75" s="2"/>
      <c r="N75" s="2"/>
      <c r="O75" s="10"/>
    </row>
    <row r="76" spans="2:21" x14ac:dyDescent="0.25">
      <c r="B76" s="7"/>
      <c r="C76" s="2"/>
      <c r="D76" s="2"/>
      <c r="E76" s="21"/>
      <c r="F76" s="105" t="s">
        <v>87</v>
      </c>
      <c r="G76" s="105"/>
      <c r="H76" s="105"/>
      <c r="I76" s="105"/>
      <c r="J76" s="105"/>
      <c r="K76" s="105"/>
      <c r="L76" s="21"/>
      <c r="M76" s="2"/>
      <c r="N76" s="2"/>
      <c r="O76" s="10"/>
    </row>
    <row r="77" spans="2:21" x14ac:dyDescent="0.25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80" spans="2:21" x14ac:dyDescent="0.25"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6"/>
    </row>
    <row r="81" spans="2:15" x14ac:dyDescent="0.25">
      <c r="B81" s="7"/>
      <c r="C81" s="106" t="s">
        <v>71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8"/>
    </row>
    <row r="82" spans="2:15" x14ac:dyDescent="0.25">
      <c r="B82" s="7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8"/>
    </row>
    <row r="83" spans="2:15" ht="15" customHeight="1" x14ac:dyDescent="0.25">
      <c r="B83" s="7"/>
      <c r="C83" s="107" t="str">
        <f>+CONCATENATE("El sector ", F89," cuenta con el mayor presupuesto en esta región equivalente a ",  FIXED(I89*100,1),"% del presupuesto total, con un avance de ", FIXED(K89*100,1),"%.  El sector de ",   F90," es el segundo sector con mayor presupuesto equivalente al ", FIXED(I90*100,1),"% del total y con un avance del ",FIXED(K90*100,1),"% y el sector ",  F91, " con una ejecución del ", FIXED(K91*100,1),"%. Los 3 sectores concentran el ", FIXED(SUM(I89:I91)*100,1),"% del total presupuestado.")</f>
        <v>El sector TRANSPORTE cuenta con el mayor presupuesto en esta región equivalente a 37.7% del presupuesto total, con un avance de 68.4%.  El sector de SANEAMIENTO es el segundo sector con mayor presupuesto equivalente al 14.4% del total y con un avance del 53.4% y el sector EDUCACION con una ejecución del 56.3%. Los 3 sectores concentran el 65.7% del total presupuestado.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9"/>
    </row>
    <row r="84" spans="2:15" x14ac:dyDescent="0.25">
      <c r="B84" s="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9"/>
    </row>
    <row r="85" spans="2:15" x14ac:dyDescent="0.25"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0"/>
    </row>
    <row r="86" spans="2:15" x14ac:dyDescent="0.25">
      <c r="B86" s="7"/>
      <c r="C86" s="2"/>
      <c r="D86" s="2"/>
      <c r="E86" s="108" t="s">
        <v>41</v>
      </c>
      <c r="F86" s="108"/>
      <c r="G86" s="108"/>
      <c r="H86" s="108"/>
      <c r="I86" s="108"/>
      <c r="J86" s="108"/>
      <c r="K86" s="108"/>
      <c r="L86" s="108"/>
      <c r="M86" s="2"/>
      <c r="N86" s="2"/>
      <c r="O86" s="10"/>
    </row>
    <row r="87" spans="2:15" x14ac:dyDescent="0.25">
      <c r="B87" s="7"/>
      <c r="C87" s="2"/>
      <c r="D87" s="2"/>
      <c r="E87" s="21"/>
      <c r="F87" s="109" t="s">
        <v>1</v>
      </c>
      <c r="G87" s="109"/>
      <c r="H87" s="109"/>
      <c r="I87" s="109"/>
      <c r="J87" s="109"/>
      <c r="K87" s="109"/>
      <c r="L87" s="21"/>
      <c r="M87" s="2"/>
      <c r="N87" s="2"/>
      <c r="O87" s="10"/>
    </row>
    <row r="88" spans="2:15" x14ac:dyDescent="0.25">
      <c r="B88" s="7"/>
      <c r="C88" s="2"/>
      <c r="D88" s="2"/>
      <c r="E88" s="2"/>
      <c r="F88" s="110" t="s">
        <v>22</v>
      </c>
      <c r="G88" s="111"/>
      <c r="H88" s="51" t="s">
        <v>20</v>
      </c>
      <c r="I88" s="51" t="s">
        <v>3</v>
      </c>
      <c r="J88" s="50" t="s">
        <v>73</v>
      </c>
      <c r="K88" s="50" t="s">
        <v>18</v>
      </c>
      <c r="L88" s="21"/>
      <c r="M88" s="2"/>
      <c r="N88" s="2"/>
      <c r="O88" s="10"/>
    </row>
    <row r="89" spans="2:15" x14ac:dyDescent="0.25">
      <c r="B89" s="7"/>
      <c r="C89" s="2"/>
      <c r="D89" s="2"/>
      <c r="E89" s="2"/>
      <c r="F89" s="30" t="s">
        <v>102</v>
      </c>
      <c r="G89" s="29"/>
      <c r="H89" s="60">
        <v>3458.1657209999998</v>
      </c>
      <c r="I89" s="32">
        <f>+H89/$H$97</f>
        <v>0.37749699619086557</v>
      </c>
      <c r="J89" s="60">
        <v>2366.7580360000002</v>
      </c>
      <c r="K89" s="32">
        <f>+J89/H89</f>
        <v>0.68439693957628012</v>
      </c>
      <c r="L89" s="21"/>
      <c r="M89" s="2"/>
      <c r="N89" s="2"/>
      <c r="O89" s="10"/>
    </row>
    <row r="90" spans="2:15" x14ac:dyDescent="0.25">
      <c r="B90" s="7"/>
      <c r="C90" s="2"/>
      <c r="D90" s="2"/>
      <c r="E90" s="2"/>
      <c r="F90" s="30" t="s">
        <v>110</v>
      </c>
      <c r="G90" s="29"/>
      <c r="H90" s="60">
        <v>1322.3471060000002</v>
      </c>
      <c r="I90" s="32">
        <f t="shared" ref="I90:I97" si="18">+H90/$H$97</f>
        <v>0.14434879664828076</v>
      </c>
      <c r="J90" s="60">
        <v>706.59384800000009</v>
      </c>
      <c r="K90" s="32">
        <f t="shared" ref="K90:K97" si="19">+J90/H90</f>
        <v>0.53434823942511811</v>
      </c>
      <c r="L90" s="21"/>
      <c r="M90" s="2"/>
      <c r="N90" s="2"/>
      <c r="O90" s="10"/>
    </row>
    <row r="91" spans="2:15" x14ac:dyDescent="0.25">
      <c r="B91" s="7"/>
      <c r="C91" s="2"/>
      <c r="D91" s="2"/>
      <c r="E91" s="2"/>
      <c r="F91" s="30" t="s">
        <v>104</v>
      </c>
      <c r="G91" s="29"/>
      <c r="H91" s="60">
        <v>1236.080158</v>
      </c>
      <c r="I91" s="32">
        <f t="shared" si="18"/>
        <v>0.13493180614872288</v>
      </c>
      <c r="J91" s="60">
        <v>695.7290230000001</v>
      </c>
      <c r="K91" s="32">
        <f t="shared" si="19"/>
        <v>0.56285105662217105</v>
      </c>
      <c r="L91" s="21"/>
      <c r="M91" s="2"/>
      <c r="N91" s="2"/>
      <c r="O91" s="10"/>
    </row>
    <row r="92" spans="2:15" x14ac:dyDescent="0.25">
      <c r="B92" s="7"/>
      <c r="C92" s="2"/>
      <c r="D92" s="2"/>
      <c r="E92" s="2"/>
      <c r="F92" s="30" t="s">
        <v>103</v>
      </c>
      <c r="G92" s="29"/>
      <c r="H92" s="60">
        <v>1002.9371809999999</v>
      </c>
      <c r="I92" s="32">
        <f t="shared" si="18"/>
        <v>0.10948167431552493</v>
      </c>
      <c r="J92" s="60">
        <v>642.8373600000001</v>
      </c>
      <c r="K92" s="32">
        <f t="shared" si="19"/>
        <v>0.64095475985748718</v>
      </c>
      <c r="L92" s="21"/>
      <c r="M92" s="2"/>
      <c r="N92" s="2"/>
      <c r="O92" s="10"/>
    </row>
    <row r="93" spans="2:15" x14ac:dyDescent="0.25">
      <c r="B93" s="7"/>
      <c r="C93" s="2"/>
      <c r="D93" s="2"/>
      <c r="E93" s="2"/>
      <c r="F93" s="30" t="s">
        <v>127</v>
      </c>
      <c r="G93" s="29"/>
      <c r="H93" s="60">
        <v>387.55790799999988</v>
      </c>
      <c r="I93" s="32">
        <f t="shared" si="18"/>
        <v>4.2306227614132261E-2</v>
      </c>
      <c r="J93" s="60">
        <v>267.01619600000004</v>
      </c>
      <c r="K93" s="32">
        <f t="shared" si="19"/>
        <v>0.68897109435320858</v>
      </c>
      <c r="L93" s="21"/>
      <c r="M93" s="2"/>
      <c r="N93" s="2"/>
      <c r="O93" s="10"/>
    </row>
    <row r="94" spans="2:15" x14ac:dyDescent="0.25">
      <c r="B94" s="7"/>
      <c r="C94" s="2"/>
      <c r="D94" s="2"/>
      <c r="E94" s="2"/>
      <c r="F94" s="30" t="s">
        <v>109</v>
      </c>
      <c r="G94" s="29"/>
      <c r="H94" s="60">
        <v>319.37078599999995</v>
      </c>
      <c r="I94" s="32">
        <f t="shared" si="18"/>
        <v>3.4862849878476293E-2</v>
      </c>
      <c r="J94" s="60">
        <v>188.58196699999999</v>
      </c>
      <c r="K94" s="32">
        <f t="shared" si="19"/>
        <v>0.59047970342534717</v>
      </c>
      <c r="L94" s="21"/>
      <c r="M94" s="2"/>
      <c r="N94" s="2"/>
      <c r="O94" s="10"/>
    </row>
    <row r="95" spans="2:15" x14ac:dyDescent="0.25">
      <c r="B95" s="7"/>
      <c r="C95" s="2"/>
      <c r="D95" s="2"/>
      <c r="E95" s="2"/>
      <c r="F95" s="30" t="s">
        <v>113</v>
      </c>
      <c r="G95" s="29"/>
      <c r="H95" s="60">
        <v>295.27461800000003</v>
      </c>
      <c r="I95" s="32">
        <f t="shared" si="18"/>
        <v>3.2232486913372334E-2</v>
      </c>
      <c r="J95" s="60">
        <v>210.03771</v>
      </c>
      <c r="K95" s="32">
        <f t="shared" si="19"/>
        <v>0.71133005411254135</v>
      </c>
      <c r="L95" s="21"/>
      <c r="M95" s="2"/>
      <c r="N95" s="2"/>
      <c r="O95" s="10"/>
    </row>
    <row r="96" spans="2:15" x14ac:dyDescent="0.25">
      <c r="B96" s="7"/>
      <c r="C96" s="2"/>
      <c r="D96" s="2"/>
      <c r="E96" s="2"/>
      <c r="F96" s="30" t="s">
        <v>126</v>
      </c>
      <c r="G96" s="29"/>
      <c r="H96" s="60">
        <v>1139.0433119999998</v>
      </c>
      <c r="I96" s="32">
        <f t="shared" si="18"/>
        <v>0.1243391622906249</v>
      </c>
      <c r="J96" s="60">
        <v>680.27747000000022</v>
      </c>
      <c r="K96" s="32">
        <f t="shared" si="19"/>
        <v>0.59723582310977152</v>
      </c>
      <c r="L96" s="21"/>
      <c r="M96" s="2"/>
      <c r="N96" s="2"/>
      <c r="O96" s="10"/>
    </row>
    <row r="97" spans="2:15" x14ac:dyDescent="0.25">
      <c r="B97" s="7"/>
      <c r="C97" s="2"/>
      <c r="D97" s="2"/>
      <c r="E97" s="2"/>
      <c r="F97" s="40" t="s">
        <v>0</v>
      </c>
      <c r="G97" s="47"/>
      <c r="H97" s="61">
        <f>SUM(H89:H96)</f>
        <v>9160.7767899999999</v>
      </c>
      <c r="I97" s="43">
        <f t="shared" si="18"/>
        <v>1</v>
      </c>
      <c r="J97" s="61">
        <f>SUM(J89:J96)</f>
        <v>5757.8316100000011</v>
      </c>
      <c r="K97" s="43">
        <f t="shared" si="19"/>
        <v>0.62853093596662135</v>
      </c>
      <c r="L97" s="21"/>
      <c r="M97" s="2"/>
      <c r="N97" s="2"/>
      <c r="O97" s="10"/>
    </row>
    <row r="98" spans="2:15" x14ac:dyDescent="0.25">
      <c r="B98" s="7"/>
      <c r="C98" s="2"/>
      <c r="D98" s="2"/>
      <c r="E98" s="21"/>
      <c r="F98" s="105" t="s">
        <v>128</v>
      </c>
      <c r="G98" s="105"/>
      <c r="H98" s="105"/>
      <c r="I98" s="105"/>
      <c r="J98" s="105"/>
      <c r="K98" s="105"/>
      <c r="L98" s="21"/>
      <c r="M98" s="2"/>
      <c r="N98" s="2"/>
      <c r="O98" s="10"/>
    </row>
    <row r="99" spans="2:15" x14ac:dyDescent="0.25"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</row>
  </sheetData>
  <sortState ref="R67:U70">
    <sortCondition descending="1" ref="T67:T70"/>
  </sortState>
  <mergeCells count="33">
    <mergeCell ref="F35:K35"/>
    <mergeCell ref="E49:L49"/>
    <mergeCell ref="E50:L50"/>
    <mergeCell ref="E51:F52"/>
    <mergeCell ref="G51:I51"/>
    <mergeCell ref="J51:L51"/>
    <mergeCell ref="J13:L13"/>
    <mergeCell ref="E22:L22"/>
    <mergeCell ref="C24:N25"/>
    <mergeCell ref="E27:L27"/>
    <mergeCell ref="F28:K28"/>
    <mergeCell ref="F70:G70"/>
    <mergeCell ref="F76:K76"/>
    <mergeCell ref="B1:O2"/>
    <mergeCell ref="C44:N44"/>
    <mergeCell ref="C46:N47"/>
    <mergeCell ref="C7:N7"/>
    <mergeCell ref="C8:N9"/>
    <mergeCell ref="E11:L11"/>
    <mergeCell ref="E12:L12"/>
    <mergeCell ref="E13:F14"/>
    <mergeCell ref="E57:L57"/>
    <mergeCell ref="C63:N63"/>
    <mergeCell ref="C65:N66"/>
    <mergeCell ref="E68:L68"/>
    <mergeCell ref="F69:K69"/>
    <mergeCell ref="G13:I13"/>
    <mergeCell ref="F98:K98"/>
    <mergeCell ref="C81:N81"/>
    <mergeCell ref="C83:N84"/>
    <mergeCell ref="E86:L86"/>
    <mergeCell ref="F87:K87"/>
    <mergeCell ref="F88:G8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2"/>
  <sheetViews>
    <sheetView zoomScaleNormal="100" zoomScalePageLayoutView="40" workbookViewId="0">
      <selection activeCell="B15" sqref="B15"/>
    </sheetView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x14ac:dyDescent="0.25">
      <c r="B1" s="124" t="s">
        <v>91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x14ac:dyDescent="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06" t="s">
        <v>39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8"/>
    </row>
    <row r="8" spans="2:15" x14ac:dyDescent="0.25">
      <c r="B8" s="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8"/>
    </row>
    <row r="9" spans="2:15" x14ac:dyDescent="0.25">
      <c r="B9" s="7"/>
      <c r="C9" s="107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1,063.6 millones, lo que equivale a un avance en la ejecución del presupuesto del 54.9%. Por niveles de gobierno, el Gobierno Nacional viene ejecutando el 62.4%  del presupuesto para esta región, el Gobierno Regional un 47.4%  y de los gobiernos locales en conjunto que tienen una ejecución del 56.4%.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9"/>
    </row>
    <row r="10" spans="2:15" x14ac:dyDescent="0.25">
      <c r="B10" s="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14" t="s">
        <v>43</v>
      </c>
      <c r="F12" s="115"/>
      <c r="G12" s="115"/>
      <c r="H12" s="115"/>
      <c r="I12" s="115"/>
      <c r="J12" s="115"/>
      <c r="K12" s="115"/>
      <c r="L12" s="115"/>
      <c r="M12" s="28"/>
      <c r="N12" s="28"/>
      <c r="O12" s="9"/>
    </row>
    <row r="13" spans="2:15" x14ac:dyDescent="0.25">
      <c r="B13" s="7"/>
      <c r="C13" s="28"/>
      <c r="E13" s="116" t="s">
        <v>12</v>
      </c>
      <c r="F13" s="116"/>
      <c r="G13" s="116"/>
      <c r="H13" s="116"/>
      <c r="I13" s="116"/>
      <c r="J13" s="116"/>
      <c r="K13" s="116"/>
      <c r="L13" s="116"/>
      <c r="M13" s="28"/>
      <c r="N13" s="28"/>
      <c r="O13" s="9"/>
    </row>
    <row r="14" spans="2:15" x14ac:dyDescent="0.25">
      <c r="B14" s="7"/>
      <c r="C14" s="2"/>
      <c r="E14" s="117" t="s">
        <v>11</v>
      </c>
      <c r="F14" s="118"/>
      <c r="G14" s="122">
        <v>2016</v>
      </c>
      <c r="H14" s="122"/>
      <c r="I14" s="122"/>
      <c r="J14" s="122">
        <v>2015</v>
      </c>
      <c r="K14" s="122"/>
      <c r="L14" s="122"/>
      <c r="M14" s="2"/>
      <c r="N14" s="2"/>
      <c r="O14" s="10"/>
    </row>
    <row r="15" spans="2:15" x14ac:dyDescent="0.25">
      <c r="B15" s="7"/>
      <c r="C15" s="2"/>
      <c r="E15" s="119"/>
      <c r="F15" s="120"/>
      <c r="G15" s="46" t="s">
        <v>6</v>
      </c>
      <c r="H15" s="46" t="s">
        <v>7</v>
      </c>
      <c r="I15" s="46" t="s">
        <v>8</v>
      </c>
      <c r="J15" s="46" t="s">
        <v>6</v>
      </c>
      <c r="K15" s="46" t="s">
        <v>7</v>
      </c>
      <c r="L15" s="46" t="s">
        <v>8</v>
      </c>
      <c r="M15" s="2"/>
      <c r="N15" s="84" t="s">
        <v>61</v>
      </c>
      <c r="O15" s="10"/>
    </row>
    <row r="16" spans="2:15" x14ac:dyDescent="0.25">
      <c r="B16" s="7"/>
      <c r="C16" s="16"/>
      <c r="D16" s="95" t="str">
        <f>+FIXED(I16*100,1)</f>
        <v>62.4</v>
      </c>
      <c r="E16" s="62" t="s">
        <v>9</v>
      </c>
      <c r="F16" s="31"/>
      <c r="G16" s="56">
        <f>+H81</f>
        <v>364.58050699999984</v>
      </c>
      <c r="H16" s="56">
        <f>+J81</f>
        <v>227.54546499999998</v>
      </c>
      <c r="I16" s="57">
        <f>+H16/G16</f>
        <v>0.62412954239487106</v>
      </c>
      <c r="J16" s="58">
        <v>441.067814</v>
      </c>
      <c r="K16" s="58">
        <v>398.11505699999998</v>
      </c>
      <c r="L16" s="59">
        <f t="shared" ref="L16:L19" si="0">+K16/J16</f>
        <v>0.90261643303675743</v>
      </c>
      <c r="N16" s="58">
        <f>+(I16-L16)*100</f>
        <v>-27.848689064188637</v>
      </c>
      <c r="O16" s="10"/>
    </row>
    <row r="17" spans="2:15" x14ac:dyDescent="0.25">
      <c r="B17" s="7"/>
      <c r="C17" s="16"/>
      <c r="D17" s="95" t="str">
        <f t="shared" ref="D17:D19" si="1">+FIXED(I17*100,1)</f>
        <v>47.4</v>
      </c>
      <c r="E17" s="62" t="s">
        <v>10</v>
      </c>
      <c r="F17" s="31"/>
      <c r="G17" s="56">
        <f>+H130</f>
        <v>559.42993799999999</v>
      </c>
      <c r="H17" s="56">
        <f>+J130</f>
        <v>265.37055399999997</v>
      </c>
      <c r="I17" s="57">
        <f t="shared" ref="I17:I19" si="2">+H17/G17</f>
        <v>0.47435887136951899</v>
      </c>
      <c r="J17" s="58">
        <v>427.09199699999999</v>
      </c>
      <c r="K17" s="58">
        <v>260.77462400000002</v>
      </c>
      <c r="L17" s="59">
        <f t="shared" si="0"/>
        <v>0.61058185550594624</v>
      </c>
      <c r="N17" s="58">
        <f t="shared" ref="N17:N19" si="3">+(I17-L17)*100</f>
        <v>-13.622298413642724</v>
      </c>
      <c r="O17" s="10"/>
    </row>
    <row r="18" spans="2:15" x14ac:dyDescent="0.25">
      <c r="B18" s="7"/>
      <c r="C18" s="16"/>
      <c r="D18" s="95" t="str">
        <f t="shared" si="1"/>
        <v>56.4</v>
      </c>
      <c r="E18" s="62" t="s">
        <v>5</v>
      </c>
      <c r="F18" s="31"/>
      <c r="G18" s="56">
        <f>+H179</f>
        <v>1011.8484169999999</v>
      </c>
      <c r="H18" s="56">
        <f>+J179</f>
        <v>570.6692569999999</v>
      </c>
      <c r="I18" s="57">
        <f t="shared" si="2"/>
        <v>0.56398690496740678</v>
      </c>
      <c r="J18" s="58">
        <v>995.66787899999997</v>
      </c>
      <c r="K18" s="58">
        <v>512.87514399999998</v>
      </c>
      <c r="L18" s="59">
        <f t="shared" si="0"/>
        <v>0.51510664832846331</v>
      </c>
      <c r="N18" s="58">
        <f t="shared" si="3"/>
        <v>4.8880256638943465</v>
      </c>
      <c r="O18" s="10"/>
    </row>
    <row r="19" spans="2:15" x14ac:dyDescent="0.25">
      <c r="B19" s="7"/>
      <c r="C19" s="95" t="str">
        <f>+FIXED(H19,1)</f>
        <v>1,063.6</v>
      </c>
      <c r="D19" s="95" t="str">
        <f t="shared" si="1"/>
        <v>54.9</v>
      </c>
      <c r="E19" s="65" t="s">
        <v>0</v>
      </c>
      <c r="F19" s="41"/>
      <c r="G19" s="66">
        <f t="shared" ref="G19:H19" si="4">SUM(G16:G18)</f>
        <v>1935.8588619999998</v>
      </c>
      <c r="H19" s="61">
        <f t="shared" si="4"/>
        <v>1063.5852759999998</v>
      </c>
      <c r="I19" s="67">
        <f t="shared" si="2"/>
        <v>0.54941261311848666</v>
      </c>
      <c r="J19" s="66">
        <f t="shared" ref="J19:K19" si="5">SUM(J16:J18)</f>
        <v>1863.8276900000001</v>
      </c>
      <c r="K19" s="66">
        <f t="shared" si="5"/>
        <v>1171.764825</v>
      </c>
      <c r="L19" s="67">
        <f t="shared" si="0"/>
        <v>0.62868731443731252</v>
      </c>
      <c r="N19" s="58">
        <f t="shared" si="3"/>
        <v>-7.9274701318825862</v>
      </c>
      <c r="O19" s="10"/>
    </row>
    <row r="20" spans="2:15" x14ac:dyDescent="0.25">
      <c r="B20" s="7"/>
      <c r="C20" s="2"/>
      <c r="E20" s="105" t="s">
        <v>92</v>
      </c>
      <c r="F20" s="105"/>
      <c r="G20" s="105"/>
      <c r="H20" s="105"/>
      <c r="I20" s="105"/>
      <c r="J20" s="105"/>
      <c r="K20" s="105"/>
      <c r="L20" s="105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07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56.2%, mientras que para los proyectos del tipo social el avance es de54.5%. Cabe resaltar que estos dos tipos de proyectos absorben el 92.8% del presupuesto total en esta región.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"/>
    </row>
    <row r="23" spans="2:15" x14ac:dyDescent="0.25">
      <c r="B23" s="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1" t="s">
        <v>40</v>
      </c>
      <c r="F25" s="121"/>
      <c r="G25" s="121"/>
      <c r="H25" s="121"/>
      <c r="I25" s="121"/>
      <c r="J25" s="121"/>
      <c r="K25" s="121"/>
      <c r="L25" s="121"/>
      <c r="M25" s="2"/>
      <c r="N25" s="2"/>
      <c r="O25" s="10"/>
    </row>
    <row r="26" spans="2:15" x14ac:dyDescent="0.25">
      <c r="B26" s="7"/>
      <c r="C26" s="2"/>
      <c r="D26" s="2"/>
      <c r="E26" s="21"/>
      <c r="F26" s="109" t="s">
        <v>1</v>
      </c>
      <c r="G26" s="109"/>
      <c r="H26" s="109"/>
      <c r="I26" s="109"/>
      <c r="J26" s="109"/>
      <c r="K26" s="109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12" t="s">
        <v>34</v>
      </c>
      <c r="G27" s="112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5" t="str">
        <f>+FIXED(K28*100,1)</f>
        <v>56.2</v>
      </c>
      <c r="F28" s="30" t="s">
        <v>13</v>
      </c>
      <c r="G28" s="31"/>
      <c r="H28" s="83">
        <f>+H77+H126+H175</f>
        <v>1167.1703569999997</v>
      </c>
      <c r="I28" s="32">
        <f>+H28/H$32</f>
        <v>0.6029212045934782</v>
      </c>
      <c r="J28" s="60">
        <f t="shared" ref="J28:J31" si="6">+J77+J126+J175</f>
        <v>655.80674599999998</v>
      </c>
      <c r="K28" s="32">
        <f>+J28/H28</f>
        <v>0.56187748606435872</v>
      </c>
      <c r="L28" s="21"/>
      <c r="M28" s="2"/>
      <c r="N28" s="2"/>
      <c r="O28" s="10"/>
    </row>
    <row r="29" spans="2:15" x14ac:dyDescent="0.25">
      <c r="B29" s="7"/>
      <c r="C29" s="2"/>
      <c r="D29" s="2"/>
      <c r="E29" s="95" t="str">
        <f>+FIXED(K29*100,1)</f>
        <v>54.5</v>
      </c>
      <c r="F29" s="30" t="s">
        <v>14</v>
      </c>
      <c r="G29" s="31"/>
      <c r="H29" s="60">
        <f t="shared" ref="H29:H31" si="7">+H78+H127+H176</f>
        <v>629.07132799999999</v>
      </c>
      <c r="I29" s="32">
        <f t="shared" ref="I29:I31" si="8">+H29/H$32</f>
        <v>0.32495722717620312</v>
      </c>
      <c r="J29" s="60">
        <f t="shared" si="6"/>
        <v>343.11569699999995</v>
      </c>
      <c r="K29" s="32">
        <f t="shared" ref="K29:K32" si="9">+J29/H29</f>
        <v>0.54543210241494267</v>
      </c>
      <c r="L29" s="21"/>
      <c r="M29" s="2"/>
      <c r="N29" s="2"/>
      <c r="O29" s="10"/>
    </row>
    <row r="30" spans="2:15" x14ac:dyDescent="0.25">
      <c r="B30" s="7"/>
      <c r="C30" s="2"/>
      <c r="D30" s="2"/>
      <c r="E30" s="95" t="str">
        <f>+FIXED((I28+I29)*100,1)</f>
        <v>92.8</v>
      </c>
      <c r="F30" s="30" t="s">
        <v>25</v>
      </c>
      <c r="G30" s="31"/>
      <c r="H30" s="60">
        <f t="shared" si="7"/>
        <v>77.58238399999999</v>
      </c>
      <c r="I30" s="32">
        <f t="shared" si="8"/>
        <v>4.0076467103519656E-2</v>
      </c>
      <c r="J30" s="60">
        <f t="shared" si="6"/>
        <v>29.313963999999999</v>
      </c>
      <c r="K30" s="32">
        <f t="shared" si="9"/>
        <v>0.37784304230712995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60">
        <f t="shared" si="7"/>
        <v>62.034792999999993</v>
      </c>
      <c r="I31" s="32">
        <f t="shared" si="8"/>
        <v>3.2045101126798987E-2</v>
      </c>
      <c r="J31" s="60">
        <f t="shared" si="6"/>
        <v>35.348869000000001</v>
      </c>
      <c r="K31" s="32">
        <f t="shared" si="9"/>
        <v>0.56982327643134079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1">
        <f>SUM(H28:H31)</f>
        <v>1935.8588619999998</v>
      </c>
      <c r="I32" s="43">
        <f>SUM(I28:I31)</f>
        <v>1</v>
      </c>
      <c r="J32" s="61">
        <f>SUM(J28:J31)</f>
        <v>1063.5852759999998</v>
      </c>
      <c r="K32" s="43">
        <f t="shared" si="9"/>
        <v>0.54941261311848666</v>
      </c>
      <c r="L32" s="21"/>
      <c r="M32" s="2"/>
      <c r="N32" s="2"/>
      <c r="O32" s="10"/>
    </row>
    <row r="33" spans="2:15" x14ac:dyDescent="0.25">
      <c r="B33" s="7"/>
      <c r="C33" s="2"/>
      <c r="E33" s="21"/>
      <c r="F33" s="105" t="s">
        <v>93</v>
      </c>
      <c r="G33" s="105"/>
      <c r="H33" s="105"/>
      <c r="I33" s="105"/>
      <c r="J33" s="105"/>
      <c r="K33" s="105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x14ac:dyDescent="0.25">
      <c r="B35" s="7"/>
      <c r="C35" s="107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TRANSPORTE cuenta con el mayor presupuesto en esta región equivalente a 34.5% del presupuesto total, con un avance de 61.4%.  El sector de AGROPECUARIA es el segundo sector con mayor presupuesto equivalente al 17.7% del total y con un avance del 51.8% y el sector SANEAMIENTO con una ejecución del 60.1%. Los 3 sectores concentran el 65.4% del total presupuestado.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"/>
    </row>
    <row r="36" spans="2:15" x14ac:dyDescent="0.25">
      <c r="B36" s="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08" t="s">
        <v>41</v>
      </c>
      <c r="F38" s="108"/>
      <c r="G38" s="108"/>
      <c r="H38" s="108"/>
      <c r="I38" s="108"/>
      <c r="J38" s="108"/>
      <c r="K38" s="108"/>
      <c r="L38" s="108"/>
      <c r="M38" s="2"/>
      <c r="N38" s="2"/>
      <c r="O38" s="10"/>
    </row>
    <row r="39" spans="2:15" x14ac:dyDescent="0.25">
      <c r="B39" s="7"/>
      <c r="C39" s="2"/>
      <c r="D39" s="21"/>
      <c r="E39" s="21"/>
      <c r="F39" s="109" t="s">
        <v>1</v>
      </c>
      <c r="G39" s="109"/>
      <c r="H39" s="109"/>
      <c r="I39" s="109"/>
      <c r="J39" s="109"/>
      <c r="K39" s="109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0" t="s">
        <v>22</v>
      </c>
      <c r="G40" s="111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102</v>
      </c>
      <c r="G41" s="29"/>
      <c r="H41" s="60">
        <v>666.94422299999997</v>
      </c>
      <c r="I41" s="32">
        <f>+H41/H$49</f>
        <v>0.34452109918331431</v>
      </c>
      <c r="J41" s="60">
        <v>409.75471099999999</v>
      </c>
      <c r="K41" s="32">
        <f>+J41/H41</f>
        <v>0.61437628045846349</v>
      </c>
      <c r="L41" s="96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103</v>
      </c>
      <c r="G42" s="29"/>
      <c r="H42" s="60">
        <v>342.46599000000003</v>
      </c>
      <c r="I42" s="32">
        <f t="shared" ref="I42:I48" si="10">+H42/H$49</f>
        <v>0.17690648668787096</v>
      </c>
      <c r="J42" s="60">
        <v>177.25269899999998</v>
      </c>
      <c r="K42" s="32">
        <f t="shared" ref="K42:K49" si="11">+J42/H42</f>
        <v>0.51757752353744668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110</v>
      </c>
      <c r="G43" s="29"/>
      <c r="H43" s="60">
        <v>256.69803200000001</v>
      </c>
      <c r="I43" s="32">
        <f t="shared" si="10"/>
        <v>0.1326016255827642</v>
      </c>
      <c r="J43" s="60">
        <v>154.14881</v>
      </c>
      <c r="K43" s="32">
        <f t="shared" si="11"/>
        <v>0.60050639577945808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104</v>
      </c>
      <c r="G44" s="29"/>
      <c r="H44" s="60">
        <v>191.94469800000002</v>
      </c>
      <c r="I44" s="32">
        <f t="shared" si="10"/>
        <v>9.9152217017358171E-2</v>
      </c>
      <c r="J44" s="60">
        <v>94.899552999999997</v>
      </c>
      <c r="K44" s="32">
        <f t="shared" si="11"/>
        <v>0.49441091100104256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109</v>
      </c>
      <c r="G45" s="29"/>
      <c r="H45" s="60">
        <v>98.537987999999999</v>
      </c>
      <c r="I45" s="32">
        <f t="shared" si="10"/>
        <v>5.0901431883415886E-2</v>
      </c>
      <c r="J45" s="60">
        <v>44.439315000000001</v>
      </c>
      <c r="K45" s="32">
        <f t="shared" si="11"/>
        <v>0.45098662862895073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113</v>
      </c>
      <c r="G46" s="29"/>
      <c r="H46" s="60">
        <v>72.474885</v>
      </c>
      <c r="I46" s="32">
        <f t="shared" si="10"/>
        <v>3.7438103790853737E-2</v>
      </c>
      <c r="J46" s="60">
        <v>44.973836999999996</v>
      </c>
      <c r="K46" s="32">
        <f t="shared" si="11"/>
        <v>0.62054375112150917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111</v>
      </c>
      <c r="G47" s="29"/>
      <c r="H47" s="60">
        <v>62.034792999999993</v>
      </c>
      <c r="I47" s="32">
        <f t="shared" si="10"/>
        <v>3.204510112679898E-2</v>
      </c>
      <c r="J47" s="60">
        <v>35.348869000000001</v>
      </c>
      <c r="K47" s="32">
        <f t="shared" si="11"/>
        <v>0.56982327643134079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126</v>
      </c>
      <c r="G48" s="29"/>
      <c r="H48" s="60">
        <v>244.75825300000005</v>
      </c>
      <c r="I48" s="32">
        <f t="shared" si="10"/>
        <v>0.12643393472762376</v>
      </c>
      <c r="J48" s="60">
        <v>102.767482</v>
      </c>
      <c r="K48" s="32">
        <f t="shared" si="11"/>
        <v>0.41987340872219731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1">
        <f>SUM(H41:H48)</f>
        <v>1935.858862</v>
      </c>
      <c r="I49" s="43">
        <f>SUM(I41:I48)</f>
        <v>1</v>
      </c>
      <c r="J49" s="61">
        <f>SUM(J41:J48)</f>
        <v>1063.585276</v>
      </c>
      <c r="K49" s="43">
        <f t="shared" si="11"/>
        <v>0.54941261311848677</v>
      </c>
      <c r="L49" s="21"/>
      <c r="M49" s="2"/>
      <c r="N49" s="2"/>
      <c r="O49" s="10"/>
    </row>
    <row r="50" spans="2:15" x14ac:dyDescent="0.25">
      <c r="B50" s="7"/>
      <c r="C50" s="2"/>
      <c r="E50" s="21"/>
      <c r="F50" s="105" t="s">
        <v>94</v>
      </c>
      <c r="G50" s="105"/>
      <c r="H50" s="105"/>
      <c r="I50" s="105"/>
      <c r="J50" s="105"/>
      <c r="K50" s="105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x14ac:dyDescent="0.25">
      <c r="B52" s="7"/>
      <c r="C52" s="107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452 proyectos que no cuentan con ningún avance en ejecución del gasto, mientras que 354 (19.6% de proyectos) no superan el 50,0% de ejecución, 739 proyectos (40.9%) tienen un nivel de ejecución mayor al 50,0% pero no culminan y 262 proyectos por S/ 21.0 millones se han ejecutado al 100,0%.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"/>
    </row>
    <row r="53" spans="2:15" x14ac:dyDescent="0.25">
      <c r="B53" s="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08" t="s">
        <v>42</v>
      </c>
      <c r="F55" s="108"/>
      <c r="G55" s="108"/>
      <c r="H55" s="108"/>
      <c r="I55" s="108"/>
      <c r="J55" s="108"/>
      <c r="K55" s="108"/>
      <c r="L55" s="108"/>
      <c r="M55" s="2"/>
      <c r="N55" s="2"/>
      <c r="O55" s="10"/>
    </row>
    <row r="56" spans="2:15" x14ac:dyDescent="0.25">
      <c r="B56" s="7"/>
      <c r="C56" s="2"/>
      <c r="D56" s="2"/>
      <c r="E56" s="21"/>
      <c r="F56" s="109" t="s">
        <v>36</v>
      </c>
      <c r="G56" s="109"/>
      <c r="H56" s="109"/>
      <c r="I56" s="109"/>
      <c r="J56" s="109"/>
      <c r="K56" s="109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146.96583500000003</v>
      </c>
      <c r="I58" s="60">
        <f t="shared" ref="I58:J58" si="12">+I107+I156+I205</f>
        <v>0</v>
      </c>
      <c r="J58" s="63">
        <f t="shared" si="12"/>
        <v>452</v>
      </c>
      <c r="K58" s="32">
        <f>+J58/J$62</f>
        <v>0.2501383508577753</v>
      </c>
      <c r="L58" s="2"/>
      <c r="M58" s="82">
        <f>SUM(J59:J61)</f>
        <v>1355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0.22693432751286954</v>
      </c>
      <c r="H59" s="60">
        <f t="shared" ref="H59:J59" si="14">+H108+H157+H206</f>
        <v>713.82787599999995</v>
      </c>
      <c r="I59" s="60">
        <f t="shared" si="14"/>
        <v>161.99204900000001</v>
      </c>
      <c r="J59" s="63">
        <f t="shared" si="14"/>
        <v>354</v>
      </c>
      <c r="K59" s="32">
        <f t="shared" ref="K59:K61" si="15">+J59/J$62</f>
        <v>0.19590481460985057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0.8354322037817683</v>
      </c>
      <c r="H60" s="60">
        <f t="shared" ref="H60:J60" si="16">+H109+H158+H207</f>
        <v>1054.1064289999999</v>
      </c>
      <c r="I60" s="60">
        <f t="shared" si="16"/>
        <v>880.634457</v>
      </c>
      <c r="J60" s="63">
        <f t="shared" si="16"/>
        <v>739</v>
      </c>
      <c r="K60" s="32">
        <f t="shared" si="15"/>
        <v>0.40896513558384062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1.0000023856416438</v>
      </c>
      <c r="H61" s="60">
        <f t="shared" ref="H61:J61" si="17">+H110+H159+H208</f>
        <v>20.958721999999987</v>
      </c>
      <c r="I61" s="60">
        <f t="shared" si="17"/>
        <v>20.958771999999989</v>
      </c>
      <c r="J61" s="63">
        <f t="shared" si="17"/>
        <v>262</v>
      </c>
      <c r="K61" s="32">
        <f t="shared" si="15"/>
        <v>0.14499169894853348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0.5494126141516199</v>
      </c>
      <c r="H62" s="61">
        <f t="shared" ref="H62:J62" si="18">SUM(H58:H61)</f>
        <v>1935.858862</v>
      </c>
      <c r="I62" s="61">
        <f t="shared" si="18"/>
        <v>1063.585278</v>
      </c>
      <c r="J62" s="64">
        <f t="shared" si="18"/>
        <v>1807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05" t="s">
        <v>95</v>
      </c>
      <c r="G63" s="105"/>
      <c r="H63" s="105"/>
      <c r="I63" s="105"/>
      <c r="J63" s="105"/>
      <c r="K63" s="105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06" t="s">
        <v>19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x14ac:dyDescent="0.25">
      <c r="B71" s="7"/>
      <c r="C71" s="123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62.4%, equivalente a S/ 227.5 millones de soles.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9"/>
    </row>
    <row r="72" spans="2:15" x14ac:dyDescent="0.25">
      <c r="B72" s="7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1" t="s">
        <v>24</v>
      </c>
      <c r="F74" s="121"/>
      <c r="G74" s="121"/>
      <c r="H74" s="121"/>
      <c r="I74" s="121"/>
      <c r="J74" s="121"/>
      <c r="K74" s="121"/>
      <c r="L74" s="121"/>
      <c r="M74" s="2"/>
      <c r="N74" s="2"/>
      <c r="O74" s="10"/>
    </row>
    <row r="75" spans="2:15" x14ac:dyDescent="0.25">
      <c r="B75" s="7"/>
      <c r="C75" s="2"/>
      <c r="D75" s="2"/>
      <c r="E75" s="21"/>
      <c r="F75" s="109" t="s">
        <v>1</v>
      </c>
      <c r="G75" s="109"/>
      <c r="H75" s="109"/>
      <c r="I75" s="109"/>
      <c r="J75" s="109"/>
      <c r="K75" s="109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12" t="s">
        <v>34</v>
      </c>
      <c r="G76" s="112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295.84701299999989</v>
      </c>
      <c r="I77" s="32">
        <f>+H77/$H$81</f>
        <v>0.81147238351939655</v>
      </c>
      <c r="J77" s="34">
        <v>200.53771099999997</v>
      </c>
      <c r="K77" s="32">
        <f>+J77/H77</f>
        <v>0.67784260847007449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28.150136</v>
      </c>
      <c r="I78" s="32">
        <f>+H78/$H$81</f>
        <v>7.7212400168174683E-2</v>
      </c>
      <c r="J78" s="34">
        <v>12.889271000000001</v>
      </c>
      <c r="K78" s="32">
        <f t="shared" ref="K78:K81" si="19">+J78/H78</f>
        <v>0.45787597615869424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40.219116999999997</v>
      </c>
      <c r="I79" s="32">
        <f>+H79/$H$81</f>
        <v>0.11031614753884803</v>
      </c>
      <c r="J79" s="34">
        <v>14.053202000000001</v>
      </c>
      <c r="K79" s="32">
        <f t="shared" si="19"/>
        <v>0.34941597549245057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0.36424099999999998</v>
      </c>
      <c r="I80" s="32">
        <f>+H80/$H$81</f>
        <v>9.9906877358092033E-4</v>
      </c>
      <c r="J80" s="34">
        <v>6.5281000000000006E-2</v>
      </c>
      <c r="K80" s="32">
        <f t="shared" si="19"/>
        <v>0.17922474405681954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364.58050699999984</v>
      </c>
      <c r="I81" s="43">
        <f>+H81/$H$81</f>
        <v>1</v>
      </c>
      <c r="J81" s="42">
        <f>SUM(J77:J80)</f>
        <v>227.54546499999998</v>
      </c>
      <c r="K81" s="43">
        <f t="shared" si="19"/>
        <v>0.62412954239487106</v>
      </c>
      <c r="L81" s="21"/>
      <c r="M81" s="2"/>
      <c r="N81" s="2"/>
      <c r="O81" s="10"/>
    </row>
    <row r="82" spans="2:15" x14ac:dyDescent="0.25">
      <c r="B82" s="7"/>
      <c r="C82" s="2"/>
      <c r="E82" s="21"/>
      <c r="F82" s="105" t="s">
        <v>96</v>
      </c>
      <c r="G82" s="105"/>
      <c r="H82" s="105"/>
      <c r="I82" s="105"/>
      <c r="J82" s="105"/>
      <c r="K82" s="105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23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TRANSPORTE cuenta con el mayor presupuesto del GN en esta región equivalente a 57.4% del presupuesto total, con un avance de 73.0%.  El sector de AGROPECUARIA es el segundo sector con mayor presupuesto equivalente al 10.2% del total y con un avance del 82.7%, en tanto el sector EDUCACION tiene una ejecución del 45.7%.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0"/>
    </row>
    <row r="85" spans="2:15" x14ac:dyDescent="0.25">
      <c r="B85" s="7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08" t="s">
        <v>23</v>
      </c>
      <c r="F87" s="108"/>
      <c r="G87" s="108"/>
      <c r="H87" s="108"/>
      <c r="I87" s="108"/>
      <c r="J87" s="108"/>
      <c r="K87" s="108"/>
      <c r="L87" s="108"/>
      <c r="M87" s="2"/>
      <c r="N87" s="2"/>
      <c r="O87" s="10"/>
    </row>
    <row r="88" spans="2:15" x14ac:dyDescent="0.25">
      <c r="B88" s="7"/>
      <c r="C88" s="2"/>
      <c r="D88" s="21"/>
      <c r="E88" s="21"/>
      <c r="F88" s="109" t="s">
        <v>1</v>
      </c>
      <c r="G88" s="109"/>
      <c r="H88" s="109"/>
      <c r="I88" s="109"/>
      <c r="J88" s="109"/>
      <c r="K88" s="109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0" t="s">
        <v>22</v>
      </c>
      <c r="G89" s="111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102</v>
      </c>
      <c r="G90" s="29"/>
      <c r="H90" s="34">
        <v>209.24680699999999</v>
      </c>
      <c r="I90" s="32">
        <f t="shared" ref="I90:I97" si="20">+H90/$H$98</f>
        <v>0.57393854850281412</v>
      </c>
      <c r="J90" s="34">
        <v>152.66251299999999</v>
      </c>
      <c r="K90" s="32">
        <f>+J90/H90</f>
        <v>0.72958108746672534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103</v>
      </c>
      <c r="G91" s="29"/>
      <c r="H91" s="34">
        <v>37.345308000000003</v>
      </c>
      <c r="I91" s="32">
        <f t="shared" si="20"/>
        <v>0.1024336388889821</v>
      </c>
      <c r="J91" s="34">
        <v>30.881353000000001</v>
      </c>
      <c r="K91" s="32">
        <f t="shared" ref="K91:K98" si="21">+J91/H91</f>
        <v>0.82691386559189706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104</v>
      </c>
      <c r="G92" s="29"/>
      <c r="H92" s="34">
        <v>27.711065000000001</v>
      </c>
      <c r="I92" s="32">
        <f t="shared" si="20"/>
        <v>7.6008081803452018E-2</v>
      </c>
      <c r="J92" s="34">
        <v>12.664702</v>
      </c>
      <c r="K92" s="32">
        <f t="shared" si="21"/>
        <v>0.45702689521315759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105</v>
      </c>
      <c r="G93" s="29"/>
      <c r="H93" s="34">
        <v>18.949525000000001</v>
      </c>
      <c r="I93" s="32">
        <f t="shared" si="20"/>
        <v>5.1976242931715509E-2</v>
      </c>
      <c r="J93" s="34">
        <v>2.3837820000000001</v>
      </c>
      <c r="K93" s="32">
        <f t="shared" si="21"/>
        <v>0.12579639859046599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106</v>
      </c>
      <c r="G94" s="29"/>
      <c r="H94" s="34">
        <v>13.91189</v>
      </c>
      <c r="I94" s="32">
        <f t="shared" si="20"/>
        <v>3.815862267150779E-2</v>
      </c>
      <c r="J94" s="34">
        <v>0.34879599999999999</v>
      </c>
      <c r="K94" s="32">
        <f t="shared" si="21"/>
        <v>2.5071791108181564E-2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107</v>
      </c>
      <c r="G95" s="29"/>
      <c r="H95" s="34">
        <v>13.774595</v>
      </c>
      <c r="I95" s="32">
        <f t="shared" si="20"/>
        <v>3.7782039180717916E-2</v>
      </c>
      <c r="J95" s="34">
        <v>13.311584</v>
      </c>
      <c r="K95" s="32">
        <f t="shared" si="21"/>
        <v>0.96638659793627324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108</v>
      </c>
      <c r="G96" s="29"/>
      <c r="H96" s="34">
        <v>12.875548</v>
      </c>
      <c r="I96" s="32">
        <f t="shared" si="20"/>
        <v>3.531606257818936E-2</v>
      </c>
      <c r="J96" s="34">
        <v>3.987311</v>
      </c>
      <c r="K96" s="32">
        <f t="shared" si="21"/>
        <v>0.30968087727217514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30.765768999999995</v>
      </c>
      <c r="I97" s="32">
        <f t="shared" si="20"/>
        <v>8.4386763442621485E-2</v>
      </c>
      <c r="J97" s="34">
        <v>11.305424000000002</v>
      </c>
      <c r="K97" s="32">
        <f t="shared" si="21"/>
        <v>0.36746762286357942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364.5805069999999</v>
      </c>
      <c r="I98" s="43">
        <f>SUM(I90:I97)</f>
        <v>1.0000000000000002</v>
      </c>
      <c r="J98" s="42">
        <f>SUM(J90:J97)</f>
        <v>227.54546499999998</v>
      </c>
      <c r="K98" s="43">
        <f t="shared" si="21"/>
        <v>0.62412954239487095</v>
      </c>
      <c r="L98" s="21"/>
      <c r="M98" s="2"/>
      <c r="N98" s="2"/>
      <c r="O98" s="10"/>
    </row>
    <row r="99" spans="2:15" x14ac:dyDescent="0.25">
      <c r="B99" s="7"/>
      <c r="C99" s="2"/>
      <c r="E99" s="21"/>
      <c r="F99" s="105" t="s">
        <v>97</v>
      </c>
      <c r="G99" s="105"/>
      <c r="H99" s="105"/>
      <c r="I99" s="105"/>
      <c r="J99" s="105"/>
      <c r="K99" s="105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23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54 proyectos que no cuentan con ningún avance en ejecución del gasto, mientras que 19 (17.1% de proyectos) no superan el 50,0% de ejecución, 26 proyectos (23.4%) tienen un nivel de ejecución mayor al 50,0% pero no culminan y solo 12 proyectos por S/ 6.9 millones se han ejecutado al 100,0%.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0"/>
    </row>
    <row r="102" spans="2:15" x14ac:dyDescent="0.25">
      <c r="B102" s="7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08" t="s">
        <v>35</v>
      </c>
      <c r="F104" s="108"/>
      <c r="G104" s="108"/>
      <c r="H104" s="108"/>
      <c r="I104" s="108"/>
      <c r="J104" s="108"/>
      <c r="K104" s="108"/>
      <c r="L104" s="108"/>
      <c r="M104" s="2"/>
      <c r="N104" s="2"/>
      <c r="O104" s="10"/>
    </row>
    <row r="105" spans="2:15" x14ac:dyDescent="0.25">
      <c r="B105" s="7"/>
      <c r="C105" s="2"/>
      <c r="D105" s="2"/>
      <c r="E105" s="21"/>
      <c r="F105" s="109" t="s">
        <v>36</v>
      </c>
      <c r="G105" s="109"/>
      <c r="H105" s="109"/>
      <c r="I105" s="109"/>
      <c r="J105" s="109"/>
      <c r="K105" s="109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25.994420999999999</v>
      </c>
      <c r="I107" s="34">
        <v>0</v>
      </c>
      <c r="J107" s="44">
        <v>54</v>
      </c>
      <c r="K107" s="32">
        <f>+J107/$J$111</f>
        <v>0.48648648648648651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2">+I108/H108</f>
        <v>6.303044256931517E-2</v>
      </c>
      <c r="H108" s="34">
        <v>97.307424000000012</v>
      </c>
      <c r="I108" s="34">
        <v>6.1333300000000008</v>
      </c>
      <c r="J108" s="44">
        <v>19</v>
      </c>
      <c r="K108" s="32">
        <f>+J108/$J$111</f>
        <v>0.17117117117117117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2"/>
        <v>0.91524815525629377</v>
      </c>
      <c r="H109" s="34">
        <v>234.40817200000001</v>
      </c>
      <c r="I109" s="34">
        <v>214.54164700000001</v>
      </c>
      <c r="J109" s="44">
        <v>26</v>
      </c>
      <c r="K109" s="32">
        <f>+J109/$J$111</f>
        <v>0.23423423423423423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2"/>
        <v>1</v>
      </c>
      <c r="H110" s="34">
        <v>6.8704900000000002</v>
      </c>
      <c r="I110" s="34">
        <v>6.8704900000000002</v>
      </c>
      <c r="J110" s="44">
        <v>12</v>
      </c>
      <c r="K110" s="32">
        <f>+J110/$J$111</f>
        <v>0.10810810810810811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2"/>
        <v>0.62412954788062758</v>
      </c>
      <c r="H111" s="42">
        <f t="shared" ref="H111:J111" si="23">SUM(H107:H110)</f>
        <v>364.58050700000001</v>
      </c>
      <c r="I111" s="42">
        <f t="shared" si="23"/>
        <v>227.545467</v>
      </c>
      <c r="J111" s="45">
        <f t="shared" si="23"/>
        <v>111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05" t="s">
        <v>98</v>
      </c>
      <c r="G112" s="105"/>
      <c r="H112" s="105"/>
      <c r="I112" s="105"/>
      <c r="J112" s="105"/>
      <c r="K112" s="105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06" t="s">
        <v>32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23" t="str">
        <f>+CONCATENATE("Los proyectos del Gobierno Regional tienen una ejecución del ",FIXED(K130*100,1),"%, equivalente a S/ ",FIXED(J130,1)," millones de soles.")</f>
        <v>Los proyectos del Gobierno Regional tienen una ejecución del 47.4%, equivalente a S/ 265.4 millones de soles.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9"/>
    </row>
    <row r="121" spans="2:15" x14ac:dyDescent="0.25">
      <c r="B121" s="7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1" t="s">
        <v>37</v>
      </c>
      <c r="F123" s="121"/>
      <c r="G123" s="121"/>
      <c r="H123" s="121"/>
      <c r="I123" s="121"/>
      <c r="J123" s="121"/>
      <c r="K123" s="121"/>
      <c r="L123" s="121"/>
      <c r="M123" s="2"/>
      <c r="N123" s="2"/>
      <c r="O123" s="10"/>
    </row>
    <row r="124" spans="2:15" x14ac:dyDescent="0.25">
      <c r="B124" s="7"/>
      <c r="C124" s="2"/>
      <c r="D124" s="2"/>
      <c r="E124" s="21"/>
      <c r="F124" s="109" t="s">
        <v>1</v>
      </c>
      <c r="G124" s="109"/>
      <c r="H124" s="109"/>
      <c r="I124" s="109"/>
      <c r="J124" s="109"/>
      <c r="K124" s="109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12" t="s">
        <v>34</v>
      </c>
      <c r="G125" s="112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369.82168599999994</v>
      </c>
      <c r="I126" s="32">
        <f>+H126/H$130</f>
        <v>0.66106881466182799</v>
      </c>
      <c r="J126" s="34">
        <v>174.088323</v>
      </c>
      <c r="K126" s="32">
        <f>+J126/H126</f>
        <v>0.47073584267851731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173.18715300000002</v>
      </c>
      <c r="I127" s="32">
        <f t="shared" ref="I127:I129" si="24">+H127/H$130</f>
        <v>0.30957791357959114</v>
      </c>
      <c r="J127" s="34">
        <v>78.225103000000004</v>
      </c>
      <c r="K127" s="32">
        <f t="shared" ref="K127:K130" si="25">+J127/H127</f>
        <v>0.45167959427106003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1.5093709999999998</v>
      </c>
      <c r="I128" s="32">
        <f t="shared" si="24"/>
        <v>2.6980518872409716E-3</v>
      </c>
      <c r="J128" s="34">
        <v>1.2160299999999999</v>
      </c>
      <c r="K128" s="32">
        <f t="shared" si="25"/>
        <v>0.80565348082081878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14.911728</v>
      </c>
      <c r="I129" s="32">
        <f t="shared" si="24"/>
        <v>2.6655219871339814E-2</v>
      </c>
      <c r="J129" s="34">
        <v>11.841098000000001</v>
      </c>
      <c r="K129" s="32">
        <f t="shared" si="25"/>
        <v>0.79407953256658115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559.42993799999999</v>
      </c>
      <c r="I130" s="43">
        <f>SUM(I126:I129)</f>
        <v>0.99999999999999978</v>
      </c>
      <c r="J130" s="42">
        <f>SUM(J126:J129)</f>
        <v>265.37055399999997</v>
      </c>
      <c r="K130" s="43">
        <f t="shared" si="25"/>
        <v>0.47435887136951899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05" t="s">
        <v>99</v>
      </c>
      <c r="G131" s="105"/>
      <c r="H131" s="105"/>
      <c r="I131" s="105"/>
      <c r="J131" s="105"/>
      <c r="K131" s="105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23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AGROPECUARIA cuenta con el mayor presupuesto del GR en esta región equivalente a 45.3% del presupuesto total, con un avance de 45.4%.  El sector de TRANSPORTE es el segundo sector con mayor presupuesto equivalente al 17.2% del total y con un avance del 56.3%, en tanto el sector SALUD tiene una ejecución del 40.1%.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0"/>
    </row>
    <row r="134" spans="2:15" x14ac:dyDescent="0.25">
      <c r="B134" s="7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08" t="s">
        <v>23</v>
      </c>
      <c r="F136" s="108"/>
      <c r="G136" s="108"/>
      <c r="H136" s="108"/>
      <c r="I136" s="108"/>
      <c r="J136" s="108"/>
      <c r="K136" s="108"/>
      <c r="L136" s="108"/>
      <c r="M136" s="2"/>
      <c r="N136" s="2"/>
      <c r="O136" s="10"/>
    </row>
    <row r="137" spans="2:15" x14ac:dyDescent="0.25">
      <c r="B137" s="7"/>
      <c r="C137" s="2"/>
      <c r="D137" s="21"/>
      <c r="E137" s="21"/>
      <c r="F137" s="109" t="s">
        <v>1</v>
      </c>
      <c r="G137" s="109"/>
      <c r="H137" s="109"/>
      <c r="I137" s="109"/>
      <c r="J137" s="109"/>
      <c r="K137" s="109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12" t="s">
        <v>22</v>
      </c>
      <c r="G138" s="112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103</v>
      </c>
      <c r="G139" s="29"/>
      <c r="H139" s="34">
        <v>253.39730399999999</v>
      </c>
      <c r="I139" s="32">
        <f>+H139/H$147</f>
        <v>0.45295628064867705</v>
      </c>
      <c r="J139" s="34">
        <v>115.100911</v>
      </c>
      <c r="K139" s="32">
        <f>+J139/H139</f>
        <v>0.45423100081601497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102</v>
      </c>
      <c r="G140" s="29"/>
      <c r="H140" s="34">
        <v>96.470359000000002</v>
      </c>
      <c r="I140" s="32">
        <f t="shared" ref="I140:I146" si="26">+H140/H$147</f>
        <v>0.17244404070487912</v>
      </c>
      <c r="J140" s="34">
        <v>54.335048</v>
      </c>
      <c r="K140" s="32">
        <f t="shared" ref="K140:K147" si="27">+J140/H140</f>
        <v>0.5632304944568518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109</v>
      </c>
      <c r="G141" s="29"/>
      <c r="H141" s="34">
        <v>86.982731000000001</v>
      </c>
      <c r="I141" s="32">
        <f t="shared" si="26"/>
        <v>0.15548458366559567</v>
      </c>
      <c r="J141" s="34">
        <v>34.858918000000003</v>
      </c>
      <c r="K141" s="32">
        <f t="shared" si="27"/>
        <v>0.40075676630571649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104</v>
      </c>
      <c r="G142" s="29"/>
      <c r="H142" s="34">
        <v>46.545461000000003</v>
      </c>
      <c r="I142" s="32">
        <f t="shared" si="26"/>
        <v>8.3201591188350035E-2</v>
      </c>
      <c r="J142" s="34">
        <v>20.507113</v>
      </c>
      <c r="K142" s="32">
        <f t="shared" si="27"/>
        <v>0.44058244476298125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110</v>
      </c>
      <c r="G143" s="29"/>
      <c r="H143" s="34">
        <v>38.419941999999999</v>
      </c>
      <c r="I143" s="32">
        <f t="shared" si="26"/>
        <v>6.8676950213558283E-2</v>
      </c>
      <c r="J143" s="34">
        <v>21.766529999999999</v>
      </c>
      <c r="K143" s="32">
        <f>+J143/H143</f>
        <v>0.56654250024635644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111</v>
      </c>
      <c r="G144" s="29"/>
      <c r="H144" s="34">
        <v>14.911728</v>
      </c>
      <c r="I144" s="32">
        <f t="shared" si="26"/>
        <v>2.6655219871339814E-2</v>
      </c>
      <c r="J144" s="34">
        <v>11.841098000000001</v>
      </c>
      <c r="K144" s="32">
        <f t="shared" si="27"/>
        <v>0.79407953256658115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112</v>
      </c>
      <c r="G145" s="29"/>
      <c r="H145" s="34">
        <v>14.390791</v>
      </c>
      <c r="I145" s="32">
        <f t="shared" si="26"/>
        <v>2.5724027304380698E-2</v>
      </c>
      <c r="J145" s="34">
        <v>0.78388500000000005</v>
      </c>
      <c r="K145" s="32">
        <f t="shared" si="27"/>
        <v>5.447129348206086E-2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8.3116219999999998</v>
      </c>
      <c r="I146" s="32">
        <f t="shared" si="26"/>
        <v>1.4857306403219342E-2</v>
      </c>
      <c r="J146" s="34">
        <v>6.1770509999999996</v>
      </c>
      <c r="K146" s="32">
        <f t="shared" si="27"/>
        <v>0.74318237763940653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559.42993799999999</v>
      </c>
      <c r="I147" s="43">
        <f>SUM(I139:I146)</f>
        <v>1</v>
      </c>
      <c r="J147" s="42">
        <f>SUM(J139:J146)</f>
        <v>265.37055399999997</v>
      </c>
      <c r="K147" s="43">
        <f t="shared" si="27"/>
        <v>0.47435887136951899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05" t="s">
        <v>96</v>
      </c>
      <c r="G148" s="105"/>
      <c r="H148" s="105"/>
      <c r="I148" s="105"/>
      <c r="J148" s="105"/>
      <c r="K148" s="105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23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35 proyectos que no cuentan con ningún avance en ejecución del gasto, mientras que 41 (21.7% de proyectos) no superan el 50,0% de ejecución, 101 proyectos (53.4%) tienen un nivel de ejecución mayor al 50,0% pero no culminan y solo 12 proyectos por S/ 2.2 millones se han ejecutado al 100,0%.</v>
      </c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0"/>
    </row>
    <row r="151" spans="2:15" x14ac:dyDescent="0.25">
      <c r="B151" s="7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08" t="s">
        <v>35</v>
      </c>
      <c r="F153" s="108"/>
      <c r="G153" s="108"/>
      <c r="H153" s="108"/>
      <c r="I153" s="108"/>
      <c r="J153" s="108"/>
      <c r="K153" s="108"/>
      <c r="L153" s="108"/>
      <c r="M153" s="2"/>
      <c r="N153" s="2"/>
      <c r="O153" s="10"/>
    </row>
    <row r="154" spans="2:15" x14ac:dyDescent="0.25">
      <c r="B154" s="7"/>
      <c r="C154" s="2"/>
      <c r="D154" s="2"/>
      <c r="E154" s="21"/>
      <c r="F154" s="109" t="s">
        <v>36</v>
      </c>
      <c r="G154" s="109"/>
      <c r="H154" s="109"/>
      <c r="I154" s="109"/>
      <c r="J154" s="109"/>
      <c r="K154" s="109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46.181267999999989</v>
      </c>
      <c r="I156" s="34">
        <v>0</v>
      </c>
      <c r="J156" s="44">
        <v>35</v>
      </c>
      <c r="K156" s="32">
        <f>+J156/J$160</f>
        <v>0.18518518518518517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8">+I157/H157</f>
        <v>0.31327591878598715</v>
      </c>
      <c r="H157" s="34">
        <v>288.71707199999997</v>
      </c>
      <c r="I157" s="34">
        <v>90.448105999999996</v>
      </c>
      <c r="J157" s="44">
        <v>41</v>
      </c>
      <c r="K157" s="32">
        <f t="shared" ref="K157:K159" si="29">+J157/J$160</f>
        <v>0.21693121693121692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8"/>
        <v>0.77690625021979198</v>
      </c>
      <c r="H158" s="34">
        <v>222.36907599999998</v>
      </c>
      <c r="I158" s="34">
        <v>172.75992499999992</v>
      </c>
      <c r="J158" s="44">
        <v>101</v>
      </c>
      <c r="K158" s="32">
        <f t="shared" si="29"/>
        <v>0.53439153439153442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8"/>
        <v>1</v>
      </c>
      <c r="H159" s="34">
        <v>2.1625220000000001</v>
      </c>
      <c r="I159" s="34">
        <v>2.1625220000000001</v>
      </c>
      <c r="J159" s="44">
        <v>12</v>
      </c>
      <c r="K159" s="32">
        <f t="shared" si="29"/>
        <v>6.3492063492063489E-2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8"/>
        <v>0.47435886958198503</v>
      </c>
      <c r="H160" s="42">
        <f t="shared" ref="H160:J160" si="30">SUM(H156:H159)</f>
        <v>559.42993799999988</v>
      </c>
      <c r="I160" s="42">
        <f t="shared" si="30"/>
        <v>265.37055299999992</v>
      </c>
      <c r="J160" s="45">
        <f t="shared" si="30"/>
        <v>189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05" t="s">
        <v>93</v>
      </c>
      <c r="G161" s="105"/>
      <c r="H161" s="105"/>
      <c r="I161" s="105"/>
      <c r="J161" s="105"/>
      <c r="K161" s="105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06" t="s">
        <v>33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23" t="str">
        <f>+CONCATENATE("Los proyectos de los Gobierno Locales tienen una ejecución del ",FIXED(K179*100,1),"%, equivalente a S/ ",FIXED(J179,1)," millones de soles.")</f>
        <v>Los proyectos de los Gobierno Locales tienen una ejecución del 56.4%, equivalente a S/ 570.7 millones de soles.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9"/>
    </row>
    <row r="170" spans="2:15" x14ac:dyDescent="0.25">
      <c r="B170" s="7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1" t="s">
        <v>38</v>
      </c>
      <c r="F172" s="121"/>
      <c r="G172" s="121"/>
      <c r="H172" s="121"/>
      <c r="I172" s="121"/>
      <c r="J172" s="121"/>
      <c r="K172" s="121"/>
      <c r="L172" s="121"/>
      <c r="M172" s="2"/>
      <c r="N172" s="2"/>
      <c r="O172" s="10"/>
    </row>
    <row r="173" spans="2:15" x14ac:dyDescent="0.25">
      <c r="B173" s="7"/>
      <c r="C173" s="2"/>
      <c r="D173" s="2"/>
      <c r="E173" s="21"/>
      <c r="F173" s="109" t="s">
        <v>1</v>
      </c>
      <c r="G173" s="109"/>
      <c r="H173" s="109"/>
      <c r="I173" s="109"/>
      <c r="J173" s="109"/>
      <c r="K173" s="109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12" t="s">
        <v>34</v>
      </c>
      <c r="G174" s="112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501.50165799999996</v>
      </c>
      <c r="I175" s="32">
        <f>+H175/H$179</f>
        <v>0.49562923613290588</v>
      </c>
      <c r="J175" s="34">
        <v>281.18071199999991</v>
      </c>
      <c r="K175" s="32">
        <f>+J175/H175</f>
        <v>0.56067753219671301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427.734039</v>
      </c>
      <c r="I176" s="32">
        <f t="shared" ref="I176:I178" si="31">+H176/H$179</f>
        <v>0.42272541204163394</v>
      </c>
      <c r="J176" s="34">
        <v>252.00132299999999</v>
      </c>
      <c r="K176" s="32">
        <f t="shared" ref="K176:K179" si="32">+J176/H176</f>
        <v>0.58915424077343537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35.853895999999999</v>
      </c>
      <c r="I177" s="32">
        <f t="shared" si="31"/>
        <v>3.5434058498902611E-2</v>
      </c>
      <c r="J177" s="34">
        <v>14.044732</v>
      </c>
      <c r="K177" s="32">
        <f t="shared" si="32"/>
        <v>0.39172122326678249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46.758823999999997</v>
      </c>
      <c r="I178" s="32">
        <f t="shared" si="31"/>
        <v>4.6211293326557629E-2</v>
      </c>
      <c r="J178" s="34">
        <v>23.442489999999999</v>
      </c>
      <c r="K178" s="32">
        <f t="shared" si="32"/>
        <v>0.50134900740874067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61">
        <f>SUM(H175:H178)</f>
        <v>1011.8484169999999</v>
      </c>
      <c r="I179" s="43">
        <f>SUM(I175:I178)</f>
        <v>1</v>
      </c>
      <c r="J179" s="42">
        <f>SUM(J175:J178)</f>
        <v>570.6692569999999</v>
      </c>
      <c r="K179" s="43">
        <f t="shared" si="32"/>
        <v>0.56398690496740678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05" t="s">
        <v>100</v>
      </c>
      <c r="G180" s="105"/>
      <c r="H180" s="105"/>
      <c r="I180" s="105"/>
      <c r="J180" s="105"/>
      <c r="K180" s="105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23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TRANSPORTE cuenta con el mayor presupuesto de los GL en consjunto en esta región equivalente a 35.7% del presupuesto total, con un avance de 56.1%.  El sector de SANEAMIENTO es el segundo sector con mayor presupuesto equivalente al 21.5% del total y con un avance del 60.6%, en tanto el sector EDUCACION tiene una ejecución del 52.5%.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0"/>
    </row>
    <row r="183" spans="2:15" x14ac:dyDescent="0.25">
      <c r="B183" s="7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08" t="s">
        <v>23</v>
      </c>
      <c r="F185" s="108"/>
      <c r="G185" s="108"/>
      <c r="H185" s="108"/>
      <c r="I185" s="108"/>
      <c r="J185" s="108"/>
      <c r="K185" s="108"/>
      <c r="L185" s="108"/>
      <c r="M185" s="2"/>
      <c r="N185" s="2"/>
      <c r="O185" s="10"/>
    </row>
    <row r="186" spans="2:15" x14ac:dyDescent="0.25">
      <c r="B186" s="7"/>
      <c r="C186" s="2"/>
      <c r="D186" s="21"/>
      <c r="E186" s="21"/>
      <c r="F186" s="109" t="s">
        <v>1</v>
      </c>
      <c r="G186" s="109"/>
      <c r="H186" s="109"/>
      <c r="I186" s="109"/>
      <c r="J186" s="109"/>
      <c r="K186" s="109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12" t="s">
        <v>22</v>
      </c>
      <c r="G187" s="112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102</v>
      </c>
      <c r="G188" s="29"/>
      <c r="H188" s="34">
        <v>361.227057</v>
      </c>
      <c r="I188" s="32">
        <f>+H188/H$196</f>
        <v>0.35699720524442941</v>
      </c>
      <c r="J188" s="34">
        <v>202.75715</v>
      </c>
      <c r="K188" s="32">
        <f>+J188/H188</f>
        <v>0.56130111538128769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110</v>
      </c>
      <c r="G189" s="29"/>
      <c r="H189" s="34">
        <v>217.96945199999999</v>
      </c>
      <c r="I189" s="32">
        <f t="shared" ref="I189:I195" si="33">+H189/H$196</f>
        <v>0.21541710036593356</v>
      </c>
      <c r="J189" s="34">
        <v>132.15771100000001</v>
      </c>
      <c r="K189" s="32">
        <f t="shared" ref="K189:K191" si="34">+J189/H189</f>
        <v>0.60631299380428783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104</v>
      </c>
      <c r="G190" s="29"/>
      <c r="H190" s="34">
        <v>117.68817199999999</v>
      </c>
      <c r="I190" s="32">
        <f t="shared" si="33"/>
        <v>0.11631008165129145</v>
      </c>
      <c r="J190" s="34">
        <v>61.727738000000002</v>
      </c>
      <c r="K190" s="32">
        <f t="shared" si="34"/>
        <v>0.52450247931457383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113</v>
      </c>
      <c r="G191" s="29"/>
      <c r="H191" s="34">
        <v>72.220438999999999</v>
      </c>
      <c r="I191" s="32">
        <f t="shared" si="33"/>
        <v>7.1374761067595757E-2</v>
      </c>
      <c r="J191" s="34">
        <v>44.725487999999999</v>
      </c>
      <c r="K191" s="32">
        <f t="shared" si="34"/>
        <v>0.61929127847035104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103</v>
      </c>
      <c r="G192" s="29"/>
      <c r="H192" s="34">
        <v>51.723377999999997</v>
      </c>
      <c r="I192" s="32">
        <f t="shared" si="33"/>
        <v>5.1117714008342412E-2</v>
      </c>
      <c r="J192" s="34">
        <v>31.270434999999999</v>
      </c>
      <c r="K192" s="32">
        <f>+J192/H192</f>
        <v>0.60457062568496589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111</v>
      </c>
      <c r="G193" s="29"/>
      <c r="H193" s="34">
        <v>46.758823999999997</v>
      </c>
      <c r="I193" s="32">
        <f t="shared" si="33"/>
        <v>4.6211293326557622E-2</v>
      </c>
      <c r="J193" s="34">
        <v>23.442489999999999</v>
      </c>
      <c r="K193" s="32">
        <f t="shared" ref="K193:K196" si="35">+J193/H193</f>
        <v>0.50134900740874067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114</v>
      </c>
      <c r="G194" s="29"/>
      <c r="H194" s="34">
        <v>36.813564</v>
      </c>
      <c r="I194" s="32">
        <f t="shared" si="33"/>
        <v>3.6382489097672818E-2</v>
      </c>
      <c r="J194" s="34">
        <v>21.099339000000001</v>
      </c>
      <c r="K194" s="32">
        <f t="shared" si="35"/>
        <v>0.57314035120315976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107.44753099999998</v>
      </c>
      <c r="I195" s="32">
        <f t="shared" si="33"/>
        <v>0.10618935523817692</v>
      </c>
      <c r="J195" s="34">
        <v>53.488905999999993</v>
      </c>
      <c r="K195" s="32">
        <f t="shared" si="35"/>
        <v>0.49781419360859952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61">
        <f>SUM(H188:H195)</f>
        <v>1011.848417</v>
      </c>
      <c r="I196" s="43">
        <f>SUM(I188:I195)</f>
        <v>1</v>
      </c>
      <c r="J196" s="42">
        <f>SUM(J188:J195)</f>
        <v>570.66925700000002</v>
      </c>
      <c r="K196" s="43">
        <f t="shared" si="35"/>
        <v>0.56398690496740678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05" t="s">
        <v>101</v>
      </c>
      <c r="G197" s="105"/>
      <c r="H197" s="105"/>
      <c r="I197" s="105"/>
      <c r="J197" s="105"/>
      <c r="K197" s="105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23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363 proyectos que no cuentan con ningún avance en ejecución del gasto, mientras que 294 (19.5% de proyectos) no superan el 50,0% de ejecución, 612 proyectos (40.6%) tienen un nivel de ejecución mayor al 50,0% pero no culminan y solo 238 proyectos por S/ 11.9 millones se han ejecutado al 100,0%.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0"/>
    </row>
    <row r="200" spans="2:15" x14ac:dyDescent="0.25">
      <c r="B200" s="7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08" t="s">
        <v>35</v>
      </c>
      <c r="F202" s="108"/>
      <c r="G202" s="108"/>
      <c r="H202" s="108"/>
      <c r="I202" s="108"/>
      <c r="J202" s="108"/>
      <c r="K202" s="108"/>
      <c r="L202" s="108"/>
      <c r="M202" s="2"/>
      <c r="N202" s="2"/>
      <c r="O202" s="10"/>
    </row>
    <row r="203" spans="2:15" x14ac:dyDescent="0.25">
      <c r="B203" s="7"/>
      <c r="C203" s="2"/>
      <c r="D203" s="2"/>
      <c r="E203" s="21"/>
      <c r="F203" s="109" t="s">
        <v>36</v>
      </c>
      <c r="G203" s="109"/>
      <c r="H203" s="109"/>
      <c r="I203" s="109"/>
      <c r="J203" s="109"/>
      <c r="K203" s="109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60">
        <v>74.790146000000036</v>
      </c>
      <c r="I205" s="60">
        <v>0</v>
      </c>
      <c r="J205" s="60">
        <v>363</v>
      </c>
      <c r="K205" s="32">
        <f>+J205/J$209</f>
        <v>0.24087591240875914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6">+I206/H206</f>
        <v>0.1995422164347421</v>
      </c>
      <c r="H206" s="60">
        <v>327.80337999999995</v>
      </c>
      <c r="I206" s="60">
        <v>65.410612999999998</v>
      </c>
      <c r="J206" s="60">
        <v>294</v>
      </c>
      <c r="K206" s="32">
        <f t="shared" ref="K206:K208" si="37">+J206/J$209</f>
        <v>0.19508958195089582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6"/>
        <v>0.825897847773153</v>
      </c>
      <c r="H207" s="60">
        <v>597.32918099999983</v>
      </c>
      <c r="I207" s="60">
        <v>493.33288500000003</v>
      </c>
      <c r="J207" s="60">
        <v>612</v>
      </c>
      <c r="K207" s="32">
        <f t="shared" si="37"/>
        <v>0.40610484406104846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6"/>
        <v>1.0000041926224938</v>
      </c>
      <c r="H208" s="60">
        <v>11.925709999999986</v>
      </c>
      <c r="I208" s="60">
        <v>11.925759999999988</v>
      </c>
      <c r="J208" s="60">
        <v>238</v>
      </c>
      <c r="K208" s="32">
        <f t="shared" si="37"/>
        <v>0.15792966157929661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6"/>
        <v>0.56398690595569723</v>
      </c>
      <c r="H209" s="61">
        <f t="shared" ref="H209:J209" si="38">SUM(H205:H208)</f>
        <v>1011.8484169999998</v>
      </c>
      <c r="I209" s="61">
        <f t="shared" si="38"/>
        <v>570.66925800000001</v>
      </c>
      <c r="J209" s="61">
        <f t="shared" si="38"/>
        <v>1507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05" t="s">
        <v>97</v>
      </c>
      <c r="G210" s="105"/>
      <c r="H210" s="105"/>
      <c r="I210" s="105"/>
      <c r="J210" s="105"/>
      <c r="K210" s="105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C199:N200"/>
    <mergeCell ref="E202:L202"/>
    <mergeCell ref="C169:N170"/>
    <mergeCell ref="E172:L172"/>
    <mergeCell ref="F173:K173"/>
    <mergeCell ref="F174:G174"/>
    <mergeCell ref="C182:N183"/>
    <mergeCell ref="F186:K186"/>
    <mergeCell ref="E185:L185"/>
    <mergeCell ref="F197:K197"/>
    <mergeCell ref="F180:K180"/>
    <mergeCell ref="G14:I14"/>
    <mergeCell ref="J14:L14"/>
    <mergeCell ref="E14:F15"/>
    <mergeCell ref="E20:L20"/>
    <mergeCell ref="F63:K63"/>
    <mergeCell ref="F50:K50"/>
    <mergeCell ref="B1:O2"/>
    <mergeCell ref="C7:N7"/>
    <mergeCell ref="C9:N10"/>
    <mergeCell ref="E12:L12"/>
    <mergeCell ref="E13:L13"/>
    <mergeCell ref="C167:N167"/>
    <mergeCell ref="F137:K137"/>
    <mergeCell ref="F138:G138"/>
    <mergeCell ref="F154:K154"/>
    <mergeCell ref="E74:L74"/>
    <mergeCell ref="F125:G125"/>
    <mergeCell ref="C133:N134"/>
    <mergeCell ref="E136:L136"/>
    <mergeCell ref="C150:N151"/>
    <mergeCell ref="E153:L153"/>
    <mergeCell ref="F88:K88"/>
    <mergeCell ref="F89:G89"/>
    <mergeCell ref="F148:K148"/>
    <mergeCell ref="F161:K161"/>
    <mergeCell ref="F124:K124"/>
    <mergeCell ref="C69:N69"/>
    <mergeCell ref="C71:N72"/>
    <mergeCell ref="F76:G76"/>
    <mergeCell ref="F131:K131"/>
    <mergeCell ref="F82:K82"/>
    <mergeCell ref="F99:K99"/>
    <mergeCell ref="C118:N118"/>
    <mergeCell ref="C120:N121"/>
    <mergeCell ref="E123:L123"/>
    <mergeCell ref="F112:K112"/>
    <mergeCell ref="F105:K105"/>
    <mergeCell ref="E87:L87"/>
    <mergeCell ref="C84:N85"/>
    <mergeCell ref="C101:N102"/>
    <mergeCell ref="E104:L104"/>
    <mergeCell ref="F210:K210"/>
    <mergeCell ref="F187:G187"/>
    <mergeCell ref="F203:K203"/>
    <mergeCell ref="C22:N23"/>
    <mergeCell ref="E25:L25"/>
    <mergeCell ref="F26:K26"/>
    <mergeCell ref="F27:G27"/>
    <mergeCell ref="C35:N36"/>
    <mergeCell ref="E38:L38"/>
    <mergeCell ref="F39:K39"/>
    <mergeCell ref="F40:G40"/>
    <mergeCell ref="C52:N53"/>
    <mergeCell ref="E55:L55"/>
    <mergeCell ref="F56:K56"/>
    <mergeCell ref="F33:K33"/>
    <mergeCell ref="F75:K75"/>
  </mergeCells>
  <pageMargins left="0.7" right="0.7" top="0.75" bottom="0.75" header="0.3" footer="0.3"/>
  <pageSetup scale="36" orientation="portrait" horizontalDpi="0" verticalDpi="0" r:id="rId1"/>
  <rowBreaks count="1" manualBreakCount="1">
    <brk id="1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2"/>
  <sheetViews>
    <sheetView zoomScaleNormal="100" workbookViewId="0">
      <selection activeCell="A5" sqref="A5"/>
    </sheetView>
  </sheetViews>
  <sheetFormatPr baseColWidth="10" defaultColWidth="0" defaultRowHeight="15" x14ac:dyDescent="0.25"/>
  <cols>
    <col min="1" max="3" width="11.7109375" style="1" customWidth="1"/>
    <col min="4" max="4" width="11.85546875" style="1" customWidth="1"/>
    <col min="5" max="16" width="11.7109375" style="1" customWidth="1"/>
    <col min="17" max="16384" width="11.42578125" style="1" hidden="1"/>
  </cols>
  <sheetData>
    <row r="1" spans="2:15" ht="15" customHeight="1" x14ac:dyDescent="0.25">
      <c r="B1" s="124" t="s">
        <v>125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15" customHeight="1" x14ac:dyDescent="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06" t="s">
        <v>39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8"/>
    </row>
    <row r="8" spans="2:15" x14ac:dyDescent="0.25">
      <c r="B8" s="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"/>
    </row>
    <row r="9" spans="2:15" ht="15" customHeight="1" x14ac:dyDescent="0.25">
      <c r="B9" s="7"/>
      <c r="C9" s="107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2,138.6 millones, lo que equivale a un avance en la ejecución del presupuesto del 68.2%. Por niveles de gobierno, el Gobierno Nacional viene ejecutando el 62.3%  del presupuesto para esta región, el Gobierno Regional un 59.1%  y de los gobiernos locales en conjunto que tienen una ejecución del 74.4%.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9"/>
    </row>
    <row r="10" spans="2:15" x14ac:dyDescent="0.25">
      <c r="B10" s="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14" t="s">
        <v>43</v>
      </c>
      <c r="F12" s="115"/>
      <c r="G12" s="115"/>
      <c r="H12" s="115"/>
      <c r="I12" s="115"/>
      <c r="J12" s="115"/>
      <c r="K12" s="115"/>
      <c r="L12" s="115"/>
      <c r="M12" s="28"/>
      <c r="N12" s="28"/>
      <c r="O12" s="9"/>
    </row>
    <row r="13" spans="2:15" x14ac:dyDescent="0.25">
      <c r="B13" s="7"/>
      <c r="C13" s="28"/>
      <c r="E13" s="116" t="s">
        <v>12</v>
      </c>
      <c r="F13" s="116"/>
      <c r="G13" s="116"/>
      <c r="H13" s="116"/>
      <c r="I13" s="116"/>
      <c r="J13" s="116"/>
      <c r="K13" s="116"/>
      <c r="L13" s="116"/>
      <c r="M13" s="28"/>
      <c r="N13" s="28"/>
      <c r="O13" s="9"/>
    </row>
    <row r="14" spans="2:15" x14ac:dyDescent="0.25">
      <c r="B14" s="7"/>
      <c r="C14" s="2"/>
      <c r="E14" s="117" t="s">
        <v>11</v>
      </c>
      <c r="F14" s="118"/>
      <c r="G14" s="122">
        <v>2016</v>
      </c>
      <c r="H14" s="122"/>
      <c r="I14" s="122"/>
      <c r="J14" s="122">
        <v>2015</v>
      </c>
      <c r="K14" s="122"/>
      <c r="L14" s="122"/>
      <c r="M14" s="2"/>
      <c r="N14" s="2"/>
      <c r="O14" s="10"/>
    </row>
    <row r="15" spans="2:15" x14ac:dyDescent="0.25">
      <c r="B15" s="7"/>
      <c r="C15" s="2"/>
      <c r="E15" s="119"/>
      <c r="F15" s="120"/>
      <c r="G15" s="84" t="s">
        <v>6</v>
      </c>
      <c r="H15" s="84" t="s">
        <v>7</v>
      </c>
      <c r="I15" s="84" t="s">
        <v>8</v>
      </c>
      <c r="J15" s="84" t="s">
        <v>6</v>
      </c>
      <c r="K15" s="84" t="s">
        <v>7</v>
      </c>
      <c r="L15" s="84" t="s">
        <v>8</v>
      </c>
      <c r="M15" s="2"/>
      <c r="N15" s="84" t="s">
        <v>61</v>
      </c>
      <c r="O15" s="10"/>
    </row>
    <row r="16" spans="2:15" x14ac:dyDescent="0.25">
      <c r="B16" s="7"/>
      <c r="C16" s="16"/>
      <c r="D16" s="95" t="str">
        <f>+FIXED(I16*100,1)</f>
        <v>62.3</v>
      </c>
      <c r="E16" s="62" t="s">
        <v>9</v>
      </c>
      <c r="F16" s="31"/>
      <c r="G16" s="56">
        <f>+H81</f>
        <v>801.41814200000022</v>
      </c>
      <c r="H16" s="56">
        <f>+J81</f>
        <v>499.14081400000003</v>
      </c>
      <c r="I16" s="57">
        <f>+H16/G16</f>
        <v>0.62282195503380544</v>
      </c>
      <c r="J16" s="58">
        <v>1099.6408429999999</v>
      </c>
      <c r="K16" s="58">
        <v>1015.707507</v>
      </c>
      <c r="L16" s="59">
        <f t="shared" ref="L16:L19" si="0">+K16/J16</f>
        <v>0.92367204570992822</v>
      </c>
      <c r="N16" s="58">
        <f>+(I16-L16)*100</f>
        <v>-30.08500906761228</v>
      </c>
      <c r="O16" s="10"/>
    </row>
    <row r="17" spans="2:15" x14ac:dyDescent="0.25">
      <c r="B17" s="7"/>
      <c r="C17" s="16"/>
      <c r="D17" s="95" t="str">
        <f t="shared" ref="D17:D19" si="1">+FIXED(I17*100,1)</f>
        <v>59.1</v>
      </c>
      <c r="E17" s="62" t="s">
        <v>10</v>
      </c>
      <c r="F17" s="31"/>
      <c r="G17" s="56">
        <f>+H130</f>
        <v>631.70662799999991</v>
      </c>
      <c r="H17" s="56">
        <f>+J130</f>
        <v>373.47944900000005</v>
      </c>
      <c r="I17" s="57">
        <f t="shared" ref="I17:I19" si="2">+H17/G17</f>
        <v>0.59122293869615705</v>
      </c>
      <c r="J17" s="58">
        <v>533.01068299999997</v>
      </c>
      <c r="K17" s="58">
        <v>430.08854500000001</v>
      </c>
      <c r="L17" s="59">
        <f t="shared" si="0"/>
        <v>0.806904174188944</v>
      </c>
      <c r="N17" s="58">
        <f t="shared" ref="N17:N19" si="3">+(I17-L17)*100</f>
        <v>-21.568123549278695</v>
      </c>
      <c r="O17" s="10"/>
    </row>
    <row r="18" spans="2:15" x14ac:dyDescent="0.25">
      <c r="B18" s="7"/>
      <c r="C18" s="16"/>
      <c r="D18" s="95" t="str">
        <f t="shared" si="1"/>
        <v>74.4</v>
      </c>
      <c r="E18" s="62" t="s">
        <v>5</v>
      </c>
      <c r="F18" s="31"/>
      <c r="G18" s="56">
        <f>+H179</f>
        <v>1702.2933840000001</v>
      </c>
      <c r="H18" s="56">
        <f>+J179</f>
        <v>1266.0027369999998</v>
      </c>
      <c r="I18" s="57">
        <f t="shared" si="2"/>
        <v>0.74370419864123716</v>
      </c>
      <c r="J18" s="58">
        <v>1811.3811370000001</v>
      </c>
      <c r="K18" s="58">
        <v>1480.482131</v>
      </c>
      <c r="L18" s="59">
        <f t="shared" si="0"/>
        <v>0.81732226352537085</v>
      </c>
      <c r="N18" s="58">
        <f t="shared" si="3"/>
        <v>-7.3618064884133698</v>
      </c>
      <c r="O18" s="10"/>
    </row>
    <row r="19" spans="2:15" x14ac:dyDescent="0.25">
      <c r="B19" s="7"/>
      <c r="C19" s="95" t="str">
        <f>+FIXED(H19,1)</f>
        <v>2,138.6</v>
      </c>
      <c r="D19" s="95" t="str">
        <f t="shared" si="1"/>
        <v>68.2</v>
      </c>
      <c r="E19" s="65" t="s">
        <v>0</v>
      </c>
      <c r="F19" s="41"/>
      <c r="G19" s="66">
        <f t="shared" ref="G19:H19" si="4">SUM(G16:G18)</f>
        <v>3135.418154</v>
      </c>
      <c r="H19" s="61">
        <f t="shared" si="4"/>
        <v>2138.6229999999996</v>
      </c>
      <c r="I19" s="67">
        <f t="shared" si="2"/>
        <v>0.68208541730603234</v>
      </c>
      <c r="J19" s="66">
        <f t="shared" ref="J19:K19" si="5">SUM(J16:J18)</f>
        <v>3444.032663</v>
      </c>
      <c r="K19" s="66">
        <f t="shared" si="5"/>
        <v>2926.2781829999999</v>
      </c>
      <c r="L19" s="67">
        <f t="shared" si="0"/>
        <v>0.84966621090376104</v>
      </c>
      <c r="N19" s="58">
        <f t="shared" si="3"/>
        <v>-16.758079359772871</v>
      </c>
      <c r="O19" s="10"/>
    </row>
    <row r="20" spans="2:15" x14ac:dyDescent="0.25">
      <c r="B20" s="7"/>
      <c r="C20" s="2"/>
      <c r="E20" s="105" t="s">
        <v>92</v>
      </c>
      <c r="F20" s="105"/>
      <c r="G20" s="105"/>
      <c r="H20" s="105"/>
      <c r="I20" s="105"/>
      <c r="J20" s="105"/>
      <c r="K20" s="105"/>
      <c r="L20" s="105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07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69.4%, mientras que para los proyectos del tipo social el avance es de65.4%. Cabe resaltar que estos dos tipos de proyectos absorben el 91.1% del presupuesto total en esta región.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"/>
    </row>
    <row r="23" spans="2:15" x14ac:dyDescent="0.25">
      <c r="B23" s="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1" t="s">
        <v>40</v>
      </c>
      <c r="F25" s="121"/>
      <c r="G25" s="121"/>
      <c r="H25" s="121"/>
      <c r="I25" s="121"/>
      <c r="J25" s="121"/>
      <c r="K25" s="121"/>
      <c r="L25" s="121"/>
      <c r="M25" s="2"/>
      <c r="N25" s="2"/>
      <c r="O25" s="10"/>
    </row>
    <row r="26" spans="2:15" x14ac:dyDescent="0.25">
      <c r="B26" s="7"/>
      <c r="C26" s="2"/>
      <c r="D26" s="2"/>
      <c r="E26" s="21"/>
      <c r="F26" s="109" t="s">
        <v>1</v>
      </c>
      <c r="G26" s="109"/>
      <c r="H26" s="109"/>
      <c r="I26" s="109"/>
      <c r="J26" s="109"/>
      <c r="K26" s="109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12" t="s">
        <v>34</v>
      </c>
      <c r="G27" s="112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5" t="str">
        <f>+FIXED(K28*100,1)</f>
        <v>69.4</v>
      </c>
      <c r="F28" s="30" t="s">
        <v>13</v>
      </c>
      <c r="G28" s="31"/>
      <c r="H28" s="83">
        <f>+H77+H126+H175</f>
        <v>1780.2300260000002</v>
      </c>
      <c r="I28" s="32">
        <f>+H28/H$32</f>
        <v>0.56778073563453646</v>
      </c>
      <c r="J28" s="60">
        <f t="shared" ref="J28:J31" si="6">+J77+J126+J175</f>
        <v>1234.744565</v>
      </c>
      <c r="K28" s="32">
        <f>+J28/H28</f>
        <v>0.69358709097517479</v>
      </c>
      <c r="L28" s="21"/>
      <c r="M28" s="2"/>
      <c r="N28" s="2"/>
      <c r="O28" s="10"/>
    </row>
    <row r="29" spans="2:15" x14ac:dyDescent="0.25">
      <c r="B29" s="7"/>
      <c r="C29" s="2"/>
      <c r="D29" s="2"/>
      <c r="E29" s="95" t="str">
        <f>+FIXED(K29*100,1)</f>
        <v>65.4</v>
      </c>
      <c r="F29" s="30" t="s">
        <v>14</v>
      </c>
      <c r="G29" s="31"/>
      <c r="H29" s="60">
        <f t="shared" ref="H29:H31" si="7">+H78+H127+H176</f>
        <v>1074.8753029999998</v>
      </c>
      <c r="I29" s="32">
        <f t="shared" ref="I29:I31" si="8">+H29/H$32</f>
        <v>0.34281720976474256</v>
      </c>
      <c r="J29" s="60">
        <f t="shared" si="6"/>
        <v>702.81720100000007</v>
      </c>
      <c r="K29" s="32">
        <f t="shared" ref="K29:K32" si="9">+J29/H29</f>
        <v>0.65385928864345688</v>
      </c>
      <c r="L29" s="21"/>
      <c r="M29" s="2"/>
      <c r="N29" s="2"/>
      <c r="O29" s="10"/>
    </row>
    <row r="30" spans="2:15" x14ac:dyDescent="0.25">
      <c r="B30" s="7"/>
      <c r="C30" s="2"/>
      <c r="D30" s="2"/>
      <c r="E30" s="95" t="str">
        <f>+FIXED((I28+I29)*100,1)</f>
        <v>91.1</v>
      </c>
      <c r="F30" s="30" t="s">
        <v>25</v>
      </c>
      <c r="G30" s="31"/>
      <c r="H30" s="60">
        <f t="shared" si="7"/>
        <v>128.59967799999998</v>
      </c>
      <c r="I30" s="32">
        <f t="shared" si="8"/>
        <v>4.1015160238177271E-2</v>
      </c>
      <c r="J30" s="60">
        <f t="shared" si="6"/>
        <v>84.125627999999992</v>
      </c>
      <c r="K30" s="32">
        <f t="shared" si="9"/>
        <v>0.65416670794463427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60">
        <f t="shared" si="7"/>
        <v>151.71314699999999</v>
      </c>
      <c r="I31" s="32">
        <f t="shared" si="8"/>
        <v>4.8386894362543773E-2</v>
      </c>
      <c r="J31" s="60">
        <f t="shared" si="6"/>
        <v>116.93560600000001</v>
      </c>
      <c r="K31" s="32">
        <f t="shared" si="9"/>
        <v>0.77076778322975537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3135.418154</v>
      </c>
      <c r="I32" s="43">
        <f>SUM(I28:I31)</f>
        <v>1</v>
      </c>
      <c r="J32" s="61">
        <f>SUM(J28:J31)</f>
        <v>2138.623</v>
      </c>
      <c r="K32" s="43">
        <f t="shared" si="9"/>
        <v>0.68208541730603245</v>
      </c>
      <c r="L32" s="21"/>
      <c r="M32" s="2"/>
      <c r="N32" s="2"/>
      <c r="O32" s="10"/>
    </row>
    <row r="33" spans="2:15" x14ac:dyDescent="0.25">
      <c r="B33" s="7"/>
      <c r="C33" s="2"/>
      <c r="E33" s="21"/>
      <c r="F33" s="105" t="s">
        <v>93</v>
      </c>
      <c r="G33" s="105"/>
      <c r="H33" s="105"/>
      <c r="I33" s="105"/>
      <c r="J33" s="105"/>
      <c r="K33" s="105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07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TRANSPORTE cuenta con el mayor presupuesto en esta región equivalente a 36.4% del presupuesto total, con un avance de 66.4%.  El sector de EDUCACION es el segundo sector con mayor presupuesto equivalente al 14.1% del total y con un avance del 62.5% y el sector SANEAMIENTO con una ejecución del 64.0%. Los 3 sectores concentran el 63.3% del total presupuestado.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"/>
    </row>
    <row r="36" spans="2:15" x14ac:dyDescent="0.25">
      <c r="B36" s="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08" t="s">
        <v>41</v>
      </c>
      <c r="F38" s="108"/>
      <c r="G38" s="108"/>
      <c r="H38" s="108"/>
      <c r="I38" s="108"/>
      <c r="J38" s="108"/>
      <c r="K38" s="108"/>
      <c r="L38" s="108"/>
      <c r="M38" s="2"/>
      <c r="N38" s="2"/>
      <c r="O38" s="10"/>
    </row>
    <row r="39" spans="2:15" x14ac:dyDescent="0.25">
      <c r="B39" s="7"/>
      <c r="C39" s="2"/>
      <c r="D39" s="21"/>
      <c r="E39" s="21"/>
      <c r="F39" s="109" t="s">
        <v>1</v>
      </c>
      <c r="G39" s="109"/>
      <c r="H39" s="109"/>
      <c r="I39" s="109"/>
      <c r="J39" s="109"/>
      <c r="K39" s="109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0" t="s">
        <v>22</v>
      </c>
      <c r="G40" s="111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102</v>
      </c>
      <c r="G41" s="29"/>
      <c r="H41" s="34">
        <v>1140.1646250000001</v>
      </c>
      <c r="I41" s="32">
        <f>+H41/H$49</f>
        <v>0.36364037235207003</v>
      </c>
      <c r="J41" s="34">
        <v>757.37971900000002</v>
      </c>
      <c r="K41" s="32">
        <f>+J41/H41</f>
        <v>0.66427224840447929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104</v>
      </c>
      <c r="G42" s="29"/>
      <c r="H42" s="34">
        <v>441.00814400000002</v>
      </c>
      <c r="I42" s="32">
        <f t="shared" ref="I42:I48" si="10">+H42/H$49</f>
        <v>0.14065369349137219</v>
      </c>
      <c r="J42" s="34">
        <v>275.53762400000005</v>
      </c>
      <c r="K42" s="32">
        <f t="shared" ref="K42:K49" si="11">+J42/H42</f>
        <v>0.62479033040260601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110</v>
      </c>
      <c r="G43" s="29"/>
      <c r="H43" s="34">
        <v>402.13937700000002</v>
      </c>
      <c r="I43" s="32">
        <f t="shared" si="10"/>
        <v>0.12825701620913688</v>
      </c>
      <c r="J43" s="34">
        <v>257.519451</v>
      </c>
      <c r="K43" s="32">
        <f t="shared" si="11"/>
        <v>0.64037362598291381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103</v>
      </c>
      <c r="G44" s="29"/>
      <c r="H44" s="34">
        <v>357.90523199999996</v>
      </c>
      <c r="I44" s="32">
        <f t="shared" si="10"/>
        <v>0.11414912283498885</v>
      </c>
      <c r="J44" s="34">
        <v>276.54463899999996</v>
      </c>
      <c r="K44" s="32">
        <f t="shared" si="11"/>
        <v>0.77267559754477133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111</v>
      </c>
      <c r="G45" s="29"/>
      <c r="H45" s="34">
        <v>151.71314699999999</v>
      </c>
      <c r="I45" s="32">
        <f t="shared" si="10"/>
        <v>4.8386894362543773E-2</v>
      </c>
      <c r="J45" s="34">
        <v>116.93560600000001</v>
      </c>
      <c r="K45" s="32">
        <f t="shared" si="11"/>
        <v>0.77076778322975537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106</v>
      </c>
      <c r="G46" s="29"/>
      <c r="H46" s="34">
        <v>125.17482699999999</v>
      </c>
      <c r="I46" s="32">
        <f t="shared" si="10"/>
        <v>3.9922849473939738E-2</v>
      </c>
      <c r="J46" s="34">
        <v>82.268360000000001</v>
      </c>
      <c r="K46" s="32">
        <f t="shared" si="11"/>
        <v>0.65722767086388711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112</v>
      </c>
      <c r="G47" s="29"/>
      <c r="H47" s="34">
        <v>123.50833799999999</v>
      </c>
      <c r="I47" s="32">
        <f t="shared" si="10"/>
        <v>3.9391344928724932E-2</v>
      </c>
      <c r="J47" s="34">
        <v>82.435369000000009</v>
      </c>
      <c r="K47" s="32">
        <f t="shared" si="11"/>
        <v>0.6674478042122145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126</v>
      </c>
      <c r="G48" s="29"/>
      <c r="H48" s="34">
        <v>393.80446399999988</v>
      </c>
      <c r="I48" s="32">
        <f t="shared" si="10"/>
        <v>0.12559870634722359</v>
      </c>
      <c r="J48" s="34">
        <v>290.00223199999988</v>
      </c>
      <c r="K48" s="32">
        <f t="shared" si="11"/>
        <v>0.73641174367185425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3135.418154</v>
      </c>
      <c r="I49" s="43">
        <f>SUM(I41:I48)</f>
        <v>1</v>
      </c>
      <c r="J49" s="61">
        <f>SUM(J41:J48)</f>
        <v>2138.623</v>
      </c>
      <c r="K49" s="43">
        <f t="shared" si="11"/>
        <v>0.68208541730603245</v>
      </c>
      <c r="L49" s="21"/>
      <c r="M49" s="2"/>
      <c r="N49" s="2"/>
      <c r="O49" s="10"/>
    </row>
    <row r="50" spans="2:15" x14ac:dyDescent="0.25">
      <c r="B50" s="7"/>
      <c r="C50" s="2"/>
      <c r="E50" s="21"/>
      <c r="F50" s="105" t="s">
        <v>94</v>
      </c>
      <c r="G50" s="105"/>
      <c r="H50" s="105"/>
      <c r="I50" s="105"/>
      <c r="J50" s="105"/>
      <c r="K50" s="105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07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855 proyectos que no cuentan con ningún avance en ejecución del gasto, mientras que 384 (9.3% de proyectos) no superan el 50,0% de ejecución, 2360 proyectos (56.9%) tienen un nivel de ejecución mayor al 50,0% pero no culminan y 552 proyectos por S/ 39.2 millones se han ejecutado al 100,0%.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"/>
    </row>
    <row r="53" spans="2:15" x14ac:dyDescent="0.25">
      <c r="B53" s="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08" t="s">
        <v>42</v>
      </c>
      <c r="F55" s="108"/>
      <c r="G55" s="108"/>
      <c r="H55" s="108"/>
      <c r="I55" s="108"/>
      <c r="J55" s="108"/>
      <c r="K55" s="108"/>
      <c r="L55" s="108"/>
      <c r="M55" s="2"/>
      <c r="N55" s="2"/>
      <c r="O55" s="10"/>
    </row>
    <row r="56" spans="2:15" x14ac:dyDescent="0.25">
      <c r="B56" s="7"/>
      <c r="C56" s="2"/>
      <c r="D56" s="2"/>
      <c r="E56" s="21"/>
      <c r="F56" s="109" t="s">
        <v>36</v>
      </c>
      <c r="G56" s="109"/>
      <c r="H56" s="109"/>
      <c r="I56" s="109"/>
      <c r="J56" s="109"/>
      <c r="K56" s="109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215.45678800000007</v>
      </c>
      <c r="I58" s="60">
        <f t="shared" ref="I58:J58" si="12">+I107+I156+I205</f>
        <v>0</v>
      </c>
      <c r="J58" s="63">
        <f t="shared" si="12"/>
        <v>855</v>
      </c>
      <c r="K58" s="32">
        <f>+J58/J$62</f>
        <v>0.20597446398458202</v>
      </c>
      <c r="L58" s="2"/>
      <c r="M58" s="82">
        <f>SUM(J59:J61)</f>
        <v>3296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0.21838005450105691</v>
      </c>
      <c r="H59" s="60">
        <f t="shared" ref="H59:J61" si="14">+H108+H157+H206</f>
        <v>624.51082500000007</v>
      </c>
      <c r="I59" s="60">
        <f t="shared" si="14"/>
        <v>136.38070800000003</v>
      </c>
      <c r="J59" s="63">
        <f t="shared" si="14"/>
        <v>384</v>
      </c>
      <c r="K59" s="32">
        <f t="shared" ref="K59:K61" si="15">+J59/J$62</f>
        <v>9.2507829438689473E-2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0.87004312922475191</v>
      </c>
      <c r="H60" s="60">
        <f t="shared" si="14"/>
        <v>2256.2506179999978</v>
      </c>
      <c r="I60" s="60">
        <f t="shared" si="14"/>
        <v>1963.0353479999985</v>
      </c>
      <c r="J60" s="63">
        <f t="shared" si="14"/>
        <v>2360</v>
      </c>
      <c r="K60" s="32">
        <f t="shared" si="15"/>
        <v>0.5685377017586124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1.0001812248457733</v>
      </c>
      <c r="H61" s="60">
        <f t="shared" si="14"/>
        <v>39.199923000000013</v>
      </c>
      <c r="I61" s="60">
        <f t="shared" si="14"/>
        <v>39.207027000000018</v>
      </c>
      <c r="J61" s="63">
        <f t="shared" si="14"/>
        <v>552</v>
      </c>
      <c r="K61" s="32">
        <f t="shared" si="15"/>
        <v>0.13298000481811612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0.68208544377778069</v>
      </c>
      <c r="H62" s="61">
        <f t="shared" ref="H62:J62" si="16">SUM(H58:H61)</f>
        <v>3135.4181539999981</v>
      </c>
      <c r="I62" s="61">
        <f t="shared" si="16"/>
        <v>2138.6230829999986</v>
      </c>
      <c r="J62" s="64">
        <f t="shared" si="16"/>
        <v>4151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05" t="s">
        <v>95</v>
      </c>
      <c r="G63" s="105"/>
      <c r="H63" s="105"/>
      <c r="I63" s="105"/>
      <c r="J63" s="105"/>
      <c r="K63" s="105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06" t="s">
        <v>19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23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62.3%, equivalente a S/ 499.1 millones de soles.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9"/>
    </row>
    <row r="72" spans="2:15" x14ac:dyDescent="0.25">
      <c r="B72" s="7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1" t="s">
        <v>24</v>
      </c>
      <c r="F74" s="121"/>
      <c r="G74" s="121"/>
      <c r="H74" s="121"/>
      <c r="I74" s="121"/>
      <c r="J74" s="121"/>
      <c r="K74" s="121"/>
      <c r="L74" s="121"/>
      <c r="M74" s="2"/>
      <c r="N74" s="2"/>
      <c r="O74" s="10"/>
    </row>
    <row r="75" spans="2:15" x14ac:dyDescent="0.25">
      <c r="B75" s="7"/>
      <c r="C75" s="2"/>
      <c r="D75" s="2"/>
      <c r="E75" s="21"/>
      <c r="F75" s="109" t="s">
        <v>1</v>
      </c>
      <c r="G75" s="109"/>
      <c r="H75" s="109"/>
      <c r="I75" s="109"/>
      <c r="J75" s="109"/>
      <c r="K75" s="109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12" t="s">
        <v>34</v>
      </c>
      <c r="G76" s="112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599.1697630000001</v>
      </c>
      <c r="I77" s="32">
        <f>+H77/$H$81</f>
        <v>0.74763688466638178</v>
      </c>
      <c r="J77" s="34">
        <v>401.04755</v>
      </c>
      <c r="K77" s="32">
        <f>+J77/H77</f>
        <v>0.66933876634892864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133.711625</v>
      </c>
      <c r="I78" s="32">
        <f>+H78/$H$81</f>
        <v>0.16684377105104262</v>
      </c>
      <c r="J78" s="34">
        <v>67.808693000000005</v>
      </c>
      <c r="K78" s="32">
        <f t="shared" ref="K78:K81" si="17">+J78/H78</f>
        <v>0.5071263848599552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68.360574999999997</v>
      </c>
      <c r="I79" s="32">
        <f>+H79/$H$81</f>
        <v>8.5299510227458741E-2</v>
      </c>
      <c r="J79" s="34">
        <v>30.202493</v>
      </c>
      <c r="K79" s="32">
        <f t="shared" si="17"/>
        <v>0.44181157048488845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0.176179</v>
      </c>
      <c r="I80" s="32">
        <f>+H80/$H$81</f>
        <v>2.1983405511676071E-4</v>
      </c>
      <c r="J80" s="34">
        <v>8.2077999999999998E-2</v>
      </c>
      <c r="K80" s="32">
        <f t="shared" si="17"/>
        <v>0.46587845316411147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801.41814200000022</v>
      </c>
      <c r="I81" s="43">
        <f>+H81/$H$81</f>
        <v>1</v>
      </c>
      <c r="J81" s="42">
        <f>SUM(J77:J80)</f>
        <v>499.14081400000003</v>
      </c>
      <c r="K81" s="43">
        <f t="shared" si="17"/>
        <v>0.62282195503380544</v>
      </c>
      <c r="L81" s="21"/>
      <c r="M81" s="2"/>
      <c r="N81" s="2"/>
      <c r="O81" s="10"/>
    </row>
    <row r="82" spans="2:15" x14ac:dyDescent="0.25">
      <c r="B82" s="7"/>
      <c r="C82" s="2"/>
      <c r="E82" s="21"/>
      <c r="F82" s="105" t="s">
        <v>96</v>
      </c>
      <c r="G82" s="105"/>
      <c r="H82" s="105"/>
      <c r="I82" s="105"/>
      <c r="J82" s="105"/>
      <c r="K82" s="105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23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TRANSPORTE cuenta con el mayor presupuesto del GN en esta región equivalente a 65.9% del presupuesto total, con un avance de 67.1%.  El sector de ORDEN PUBLICO Y SEGURIDAD es el segundo sector con mayor presupuesto equivalente al 8.3% del total y con un avance del 44.9%, en tanto el sector EDUCACION tiene una ejecución del 37.1%.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0"/>
    </row>
    <row r="85" spans="2:15" x14ac:dyDescent="0.25">
      <c r="B85" s="7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08" t="s">
        <v>23</v>
      </c>
      <c r="F87" s="108"/>
      <c r="G87" s="108"/>
      <c r="H87" s="108"/>
      <c r="I87" s="108"/>
      <c r="J87" s="108"/>
      <c r="K87" s="108"/>
      <c r="L87" s="108"/>
      <c r="M87" s="2"/>
      <c r="N87" s="2"/>
      <c r="O87" s="10"/>
    </row>
    <row r="88" spans="2:15" x14ac:dyDescent="0.25">
      <c r="B88" s="7"/>
      <c r="C88" s="2"/>
      <c r="D88" s="21"/>
      <c r="E88" s="21"/>
      <c r="F88" s="109" t="s">
        <v>1</v>
      </c>
      <c r="G88" s="109"/>
      <c r="H88" s="109"/>
      <c r="I88" s="109"/>
      <c r="J88" s="109"/>
      <c r="K88" s="109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0" t="s">
        <v>22</v>
      </c>
      <c r="G89" s="111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102</v>
      </c>
      <c r="G90" s="29"/>
      <c r="H90" s="34">
        <v>528.52547000000004</v>
      </c>
      <c r="I90" s="32">
        <f t="shared" ref="I90:I97" si="18">+H90/$H$98</f>
        <v>0.65948777835378725</v>
      </c>
      <c r="J90" s="34">
        <v>354.81040200000001</v>
      </c>
      <c r="K90" s="32">
        <f>+J90/H90</f>
        <v>0.67132129318195388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106</v>
      </c>
      <c r="G91" s="29"/>
      <c r="H91" s="34">
        <v>66.493865</v>
      </c>
      <c r="I91" s="32">
        <f t="shared" si="18"/>
        <v>8.2970251751550678E-2</v>
      </c>
      <c r="J91" s="34">
        <v>29.851275000000001</v>
      </c>
      <c r="K91" s="32">
        <f t="shared" ref="K91:K98" si="19">+J91/H91</f>
        <v>0.44893276996306353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104</v>
      </c>
      <c r="G92" s="29"/>
      <c r="H92" s="34">
        <v>64.301338000000001</v>
      </c>
      <c r="I92" s="32">
        <f t="shared" si="18"/>
        <v>8.0234442708685266E-2</v>
      </c>
      <c r="J92" s="34">
        <v>23.887008000000002</v>
      </c>
      <c r="K92" s="32">
        <f t="shared" si="19"/>
        <v>0.37148539584044116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103</v>
      </c>
      <c r="G93" s="29"/>
      <c r="H93" s="34">
        <v>46.663356</v>
      </c>
      <c r="I93" s="32">
        <f t="shared" si="18"/>
        <v>5.8225979116903991E-2</v>
      </c>
      <c r="J93" s="34">
        <v>32.860858</v>
      </c>
      <c r="K93" s="32">
        <f t="shared" si="19"/>
        <v>0.70421120161181716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110</v>
      </c>
      <c r="G94" s="29"/>
      <c r="H94" s="34">
        <v>33.926682</v>
      </c>
      <c r="I94" s="32">
        <f t="shared" si="18"/>
        <v>4.2333309195288965E-2</v>
      </c>
      <c r="J94" s="34">
        <v>17.129674000000001</v>
      </c>
      <c r="K94" s="32">
        <f t="shared" si="19"/>
        <v>0.50490271934048847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113</v>
      </c>
      <c r="G95" s="29"/>
      <c r="H95" s="34">
        <v>32.161149000000002</v>
      </c>
      <c r="I95" s="32">
        <f t="shared" si="18"/>
        <v>4.0130298173359794E-2</v>
      </c>
      <c r="J95" s="34">
        <v>25.574076999999999</v>
      </c>
      <c r="K95" s="32">
        <f t="shared" si="19"/>
        <v>0.79518542698832051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115</v>
      </c>
      <c r="G96" s="29"/>
      <c r="H96" s="34">
        <v>19.456491</v>
      </c>
      <c r="I96" s="32">
        <f t="shared" si="18"/>
        <v>2.4277577434726947E-2</v>
      </c>
      <c r="J96" s="34">
        <v>12.380223000000001</v>
      </c>
      <c r="K96" s="32">
        <f t="shared" si="19"/>
        <v>0.6363029695334067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9.8897909999999989</v>
      </c>
      <c r="I97" s="32">
        <f t="shared" si="18"/>
        <v>1.2340363265697069E-2</v>
      </c>
      <c r="J97" s="34">
        <v>2.647297</v>
      </c>
      <c r="K97" s="32">
        <f t="shared" si="19"/>
        <v>0.26767977199922632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801.4181420000001</v>
      </c>
      <c r="I98" s="43">
        <f>SUM(I90:I97)</f>
        <v>1</v>
      </c>
      <c r="J98" s="42">
        <f>SUM(J90:J97)</f>
        <v>499.14081399999998</v>
      </c>
      <c r="K98" s="43">
        <f t="shared" si="19"/>
        <v>0.62282195503380544</v>
      </c>
      <c r="L98" s="21"/>
      <c r="M98" s="2"/>
      <c r="N98" s="2"/>
      <c r="O98" s="10"/>
    </row>
    <row r="99" spans="2:15" x14ac:dyDescent="0.25">
      <c r="B99" s="7"/>
      <c r="C99" s="2"/>
      <c r="E99" s="21"/>
      <c r="F99" s="105" t="s">
        <v>97</v>
      </c>
      <c r="G99" s="105"/>
      <c r="H99" s="105"/>
      <c r="I99" s="105"/>
      <c r="J99" s="105"/>
      <c r="K99" s="105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23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77 proyectos que no cuentan con ningún avance en ejecución del gasto, mientras que 54 (23.4% de proyectos) no superan el 50,0% de ejecución, 91 proyectos (39.4%) tienen un nivel de ejecución mayor al 50,0% pero no culminan y solo 9 proyectos por S/ 7.2 millones se han ejecutado al 100,0%.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0"/>
    </row>
    <row r="102" spans="2:15" x14ac:dyDescent="0.25">
      <c r="B102" s="7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08" t="s">
        <v>35</v>
      </c>
      <c r="F104" s="108"/>
      <c r="G104" s="108"/>
      <c r="H104" s="108"/>
      <c r="I104" s="108"/>
      <c r="J104" s="108"/>
      <c r="K104" s="108"/>
      <c r="L104" s="108"/>
      <c r="M104" s="2"/>
      <c r="N104" s="2"/>
      <c r="O104" s="10"/>
    </row>
    <row r="105" spans="2:15" x14ac:dyDescent="0.25">
      <c r="B105" s="7"/>
      <c r="C105" s="2"/>
      <c r="D105" s="2"/>
      <c r="E105" s="21"/>
      <c r="F105" s="109" t="s">
        <v>36</v>
      </c>
      <c r="G105" s="109"/>
      <c r="H105" s="109"/>
      <c r="I105" s="109"/>
      <c r="J105" s="109"/>
      <c r="K105" s="109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138.08209000000002</v>
      </c>
      <c r="I107" s="34">
        <v>0</v>
      </c>
      <c r="J107" s="44">
        <v>77</v>
      </c>
      <c r="K107" s="32">
        <f>+J107/$J$111</f>
        <v>0.33333333333333331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0.22668168732509525</v>
      </c>
      <c r="H108" s="34">
        <v>108.49235900000004</v>
      </c>
      <c r="I108" s="34">
        <v>24.593230999999992</v>
      </c>
      <c r="J108" s="44">
        <v>54</v>
      </c>
      <c r="K108" s="32">
        <f>+J108/$J$111</f>
        <v>0.23376623376623376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0.85338014250523653</v>
      </c>
      <c r="H109" s="34">
        <v>547.64822699999991</v>
      </c>
      <c r="I109" s="34">
        <v>467.35212200000007</v>
      </c>
      <c r="J109" s="44">
        <v>91</v>
      </c>
      <c r="K109" s="32">
        <f>+J109/$J$111</f>
        <v>0.39393939393939392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7.1954660000000006</v>
      </c>
      <c r="I110" s="34">
        <v>7.1954660000000006</v>
      </c>
      <c r="J110" s="44">
        <v>9</v>
      </c>
      <c r="K110" s="32">
        <f>+J110/$J$111</f>
        <v>3.896103896103896E-2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0.62282196127274603</v>
      </c>
      <c r="H111" s="42">
        <f t="shared" ref="H111:J111" si="21">SUM(H107:H110)</f>
        <v>801.41814199999999</v>
      </c>
      <c r="I111" s="42">
        <f t="shared" si="21"/>
        <v>499.14081900000008</v>
      </c>
      <c r="J111" s="45">
        <f t="shared" si="21"/>
        <v>231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05" t="s">
        <v>98</v>
      </c>
      <c r="G112" s="105"/>
      <c r="H112" s="105"/>
      <c r="I112" s="105"/>
      <c r="J112" s="105"/>
      <c r="K112" s="105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06" t="s">
        <v>32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23" t="str">
        <f>+CONCATENATE("Los proyectos del Gobierno Regional tienen una ejecución del ",FIXED(K130*100,1),"%, equivalente a S/ ",FIXED(J130,1)," millones de soles.")</f>
        <v>Los proyectos del Gobierno Regional tienen una ejecución del 59.1%, equivalente a S/ 373.5 millones de soles.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9"/>
    </row>
    <row r="121" spans="2:15" x14ac:dyDescent="0.25">
      <c r="B121" s="7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1" t="s">
        <v>37</v>
      </c>
      <c r="F123" s="121"/>
      <c r="G123" s="121"/>
      <c r="H123" s="121"/>
      <c r="I123" s="121"/>
      <c r="J123" s="121"/>
      <c r="K123" s="121"/>
      <c r="L123" s="121"/>
      <c r="M123" s="2"/>
      <c r="N123" s="2"/>
      <c r="O123" s="10"/>
    </row>
    <row r="124" spans="2:15" x14ac:dyDescent="0.25">
      <c r="B124" s="7"/>
      <c r="C124" s="2"/>
      <c r="D124" s="2"/>
      <c r="E124" s="21"/>
      <c r="F124" s="109" t="s">
        <v>1</v>
      </c>
      <c r="G124" s="109"/>
      <c r="H124" s="109"/>
      <c r="I124" s="109"/>
      <c r="J124" s="109"/>
      <c r="K124" s="109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12" t="s">
        <v>34</v>
      </c>
      <c r="G125" s="112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427.83428399999997</v>
      </c>
      <c r="I126" s="32">
        <f>+H126/H$130</f>
        <v>0.67726736595203185</v>
      </c>
      <c r="J126" s="34">
        <v>237.78849100000002</v>
      </c>
      <c r="K126" s="32">
        <f>+J126/H126</f>
        <v>0.55579578330379908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169.20333699999998</v>
      </c>
      <c r="I127" s="32">
        <f t="shared" ref="I127:I129" si="22">+H127/H$130</f>
        <v>0.2678511345301256</v>
      </c>
      <c r="J127" s="34">
        <v>105.244283</v>
      </c>
      <c r="K127" s="32">
        <f t="shared" ref="K127:K130" si="23">+J127/H127</f>
        <v>0.62199886164183638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15.237083999999999</v>
      </c>
      <c r="I128" s="32">
        <f t="shared" si="22"/>
        <v>2.4120506774230017E-2</v>
      </c>
      <c r="J128" s="34">
        <v>14.632330999999999</v>
      </c>
      <c r="K128" s="32">
        <f t="shared" si="23"/>
        <v>0.96031045047726971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19.431923000000001</v>
      </c>
      <c r="I129" s="32">
        <f t="shared" si="22"/>
        <v>3.0760992743612631E-2</v>
      </c>
      <c r="J129" s="34">
        <v>15.814344</v>
      </c>
      <c r="K129" s="32">
        <f t="shared" si="23"/>
        <v>0.81383319602491211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631.70662799999991</v>
      </c>
      <c r="I130" s="43">
        <f>SUM(I126:I129)</f>
        <v>1</v>
      </c>
      <c r="J130" s="42">
        <f>SUM(J126:J129)</f>
        <v>373.47944900000005</v>
      </c>
      <c r="K130" s="43">
        <f t="shared" si="23"/>
        <v>0.59122293869615705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05" t="s">
        <v>99</v>
      </c>
      <c r="G131" s="105"/>
      <c r="H131" s="105"/>
      <c r="I131" s="105"/>
      <c r="J131" s="105"/>
      <c r="K131" s="105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23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TRANSPORTE cuenta con el mayor presupuesto del GR en esta región equivalente a 40.1% del presupuesto total, con un avance de 54.7%.  El sector de EDUCACION es el segundo sector con mayor presupuesto equivalente al 17.5% del total y con un avance del 64.6%, en tanto el sector AGROPECUARIA tiene una ejecución del 65.2%.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0"/>
    </row>
    <row r="134" spans="2:15" x14ac:dyDescent="0.25">
      <c r="B134" s="7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08" t="s">
        <v>23</v>
      </c>
      <c r="F136" s="108"/>
      <c r="G136" s="108"/>
      <c r="H136" s="108"/>
      <c r="I136" s="108"/>
      <c r="J136" s="108"/>
      <c r="K136" s="108"/>
      <c r="L136" s="108"/>
      <c r="M136" s="2"/>
      <c r="N136" s="2"/>
      <c r="O136" s="10"/>
    </row>
    <row r="137" spans="2:15" x14ac:dyDescent="0.25">
      <c r="B137" s="7"/>
      <c r="C137" s="2"/>
      <c r="D137" s="21"/>
      <c r="E137" s="21"/>
      <c r="F137" s="109" t="s">
        <v>1</v>
      </c>
      <c r="G137" s="109"/>
      <c r="H137" s="109"/>
      <c r="I137" s="109"/>
      <c r="J137" s="109"/>
      <c r="K137" s="109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12" t="s">
        <v>22</v>
      </c>
      <c r="G138" s="112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102</v>
      </c>
      <c r="G139" s="29"/>
      <c r="H139" s="34">
        <v>253.31529499999999</v>
      </c>
      <c r="I139" s="32">
        <f>+H139/H$147</f>
        <v>0.40100148355574955</v>
      </c>
      <c r="J139" s="34">
        <v>138.642664</v>
      </c>
      <c r="K139" s="32">
        <f>+J139/H139</f>
        <v>0.54731264450494388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104</v>
      </c>
      <c r="G140" s="29"/>
      <c r="H140" s="34">
        <v>110.681574</v>
      </c>
      <c r="I140" s="32">
        <f t="shared" ref="I140:I146" si="24">+H140/H$147</f>
        <v>0.17521040478935737</v>
      </c>
      <c r="J140" s="34">
        <v>71.511482000000001</v>
      </c>
      <c r="K140" s="32">
        <f t="shared" ref="K140:K147" si="25">+J140/H140</f>
        <v>0.64610105743526924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103</v>
      </c>
      <c r="G141" s="29"/>
      <c r="H141" s="34">
        <v>102.983003</v>
      </c>
      <c r="I141" s="32">
        <f t="shared" si="24"/>
        <v>0.16302346443007401</v>
      </c>
      <c r="J141" s="34">
        <v>67.165495000000007</v>
      </c>
      <c r="K141" s="32">
        <f t="shared" si="25"/>
        <v>0.65219981009875982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112</v>
      </c>
      <c r="G142" s="29"/>
      <c r="H142" s="34">
        <v>49.832580999999998</v>
      </c>
      <c r="I142" s="32">
        <f t="shared" si="24"/>
        <v>7.888563898367075E-2</v>
      </c>
      <c r="J142" s="34">
        <v>19.165828000000001</v>
      </c>
      <c r="K142" s="32">
        <f t="shared" si="25"/>
        <v>0.38460436155213396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109</v>
      </c>
      <c r="G143" s="29"/>
      <c r="H143" s="34">
        <v>30.986502999999999</v>
      </c>
      <c r="I143" s="32">
        <f t="shared" si="24"/>
        <v>4.9052046672525967E-2</v>
      </c>
      <c r="J143" s="34">
        <v>14.379357000000001</v>
      </c>
      <c r="K143" s="32">
        <f>+J143/H143</f>
        <v>0.4640522681762444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110</v>
      </c>
      <c r="G144" s="29"/>
      <c r="H144" s="34">
        <v>19.74823</v>
      </c>
      <c r="I144" s="32">
        <f t="shared" si="24"/>
        <v>3.1261710934589085E-2</v>
      </c>
      <c r="J144" s="34">
        <v>13.081721</v>
      </c>
      <c r="K144" s="32">
        <f t="shared" si="25"/>
        <v>0.6624249869481974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111</v>
      </c>
      <c r="G145" s="29"/>
      <c r="H145" s="34">
        <v>19.431923000000001</v>
      </c>
      <c r="I145" s="32">
        <f t="shared" si="24"/>
        <v>3.0760992743612627E-2</v>
      </c>
      <c r="J145" s="34">
        <v>15.814344</v>
      </c>
      <c r="K145" s="32">
        <f t="shared" si="25"/>
        <v>0.81383319602491211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44.727519000000008</v>
      </c>
      <c r="I146" s="32">
        <f t="shared" si="24"/>
        <v>7.0804257890420622E-2</v>
      </c>
      <c r="J146" s="34">
        <v>33.718557999999994</v>
      </c>
      <c r="K146" s="32">
        <f t="shared" si="25"/>
        <v>0.75386604832698156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631.70662800000002</v>
      </c>
      <c r="I147" s="43">
        <f>SUM(I139:I146)</f>
        <v>1</v>
      </c>
      <c r="J147" s="42">
        <f>SUM(J139:J146)</f>
        <v>373.47944899999999</v>
      </c>
      <c r="K147" s="43">
        <f t="shared" si="25"/>
        <v>0.59122293869615683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05" t="s">
        <v>96</v>
      </c>
      <c r="G148" s="105"/>
      <c r="H148" s="105"/>
      <c r="I148" s="105"/>
      <c r="J148" s="105"/>
      <c r="K148" s="105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23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27 proyectos que no cuentan con ningún avance en ejecución del gasto, mientras que 56 (22.9% de proyectos) no superan el 50,0% de ejecución, 155 proyectos (63.3%) tienen un nivel de ejecución mayor al 50,0% pero no culminan y solo 7 proyectos por S/ 0.8 millones se han ejecutado al 100,0%.</v>
      </c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0"/>
    </row>
    <row r="151" spans="2:15" x14ac:dyDescent="0.25">
      <c r="B151" s="7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08" t="s">
        <v>35</v>
      </c>
      <c r="F153" s="108"/>
      <c r="G153" s="108"/>
      <c r="H153" s="108"/>
      <c r="I153" s="108"/>
      <c r="J153" s="108"/>
      <c r="K153" s="108"/>
      <c r="L153" s="108"/>
      <c r="M153" s="2"/>
      <c r="N153" s="2"/>
      <c r="O153" s="10"/>
    </row>
    <row r="154" spans="2:15" x14ac:dyDescent="0.25">
      <c r="B154" s="7"/>
      <c r="C154" s="2"/>
      <c r="D154" s="2"/>
      <c r="E154" s="21"/>
      <c r="F154" s="109" t="s">
        <v>36</v>
      </c>
      <c r="G154" s="109"/>
      <c r="H154" s="109"/>
      <c r="I154" s="109"/>
      <c r="J154" s="109"/>
      <c r="K154" s="109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21.241599000000001</v>
      </c>
      <c r="I156" s="34">
        <v>0</v>
      </c>
      <c r="J156" s="44">
        <v>27</v>
      </c>
      <c r="K156" s="32">
        <f>+J156/J$160</f>
        <v>0.11020408163265306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0.18321641708349518</v>
      </c>
      <c r="H157" s="34">
        <v>225.23800899999995</v>
      </c>
      <c r="I157" s="34">
        <v>41.267301000000032</v>
      </c>
      <c r="J157" s="44">
        <v>56</v>
      </c>
      <c r="K157" s="32">
        <f t="shared" ref="K157:K159" si="27">+J157/J$160</f>
        <v>0.22857142857142856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0.86208391090741021</v>
      </c>
      <c r="H158" s="34">
        <v>384.3994659999999</v>
      </c>
      <c r="I158" s="34">
        <v>331.38459499999999</v>
      </c>
      <c r="J158" s="44">
        <v>155</v>
      </c>
      <c r="K158" s="32">
        <f t="shared" si="27"/>
        <v>0.63265306122448983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0.82755400000000001</v>
      </c>
      <c r="I159" s="34">
        <v>0.82755400000000001</v>
      </c>
      <c r="J159" s="44">
        <v>7</v>
      </c>
      <c r="K159" s="32">
        <f t="shared" si="27"/>
        <v>2.8571428571428571E-2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0.59122294027917044</v>
      </c>
      <c r="H160" s="42">
        <f t="shared" ref="H160:J160" si="28">SUM(H156:H159)</f>
        <v>631.7066279999998</v>
      </c>
      <c r="I160" s="42">
        <f t="shared" si="28"/>
        <v>373.47945000000004</v>
      </c>
      <c r="J160" s="45">
        <f t="shared" si="28"/>
        <v>245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05" t="s">
        <v>93</v>
      </c>
      <c r="G161" s="105"/>
      <c r="H161" s="105"/>
      <c r="I161" s="105"/>
      <c r="J161" s="105"/>
      <c r="K161" s="105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06" t="s">
        <v>33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23" t="str">
        <f>+CONCATENATE("Los proyectos de los Gobierno Locales tienen una ejecución del ",FIXED(K179*100,1),"%, equivalente a S/ ",FIXED(J179,1)," millones de soles.")</f>
        <v>Los proyectos de los Gobierno Locales tienen una ejecución del 74.4%, equivalente a S/ 1,266.0 millones de soles.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9"/>
    </row>
    <row r="170" spans="2:15" x14ac:dyDescent="0.25">
      <c r="B170" s="7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1" t="s">
        <v>38</v>
      </c>
      <c r="F172" s="121"/>
      <c r="G172" s="121"/>
      <c r="H172" s="121"/>
      <c r="I172" s="121"/>
      <c r="J172" s="121"/>
      <c r="K172" s="121"/>
      <c r="L172" s="121"/>
      <c r="M172" s="2"/>
      <c r="N172" s="2"/>
      <c r="O172" s="10"/>
    </row>
    <row r="173" spans="2:15" x14ac:dyDescent="0.25">
      <c r="B173" s="7"/>
      <c r="C173" s="2"/>
      <c r="D173" s="2"/>
      <c r="E173" s="21"/>
      <c r="F173" s="109" t="s">
        <v>1</v>
      </c>
      <c r="G173" s="109"/>
      <c r="H173" s="109"/>
      <c r="I173" s="109"/>
      <c r="J173" s="109"/>
      <c r="K173" s="109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12" t="s">
        <v>34</v>
      </c>
      <c r="G174" s="112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753.22597900000005</v>
      </c>
      <c r="I175" s="32">
        <f>+H175/H$179</f>
        <v>0.44247718171240924</v>
      </c>
      <c r="J175" s="34">
        <v>595.90852399999994</v>
      </c>
      <c r="K175" s="32">
        <f>+J175/H175</f>
        <v>0.79114175641039575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771.96034099999997</v>
      </c>
      <c r="I176" s="32">
        <f t="shared" ref="I176:I178" si="29">+H176/H$179</f>
        <v>0.45348254787084336</v>
      </c>
      <c r="J176" s="34">
        <v>529.76422500000001</v>
      </c>
      <c r="K176" s="32">
        <f t="shared" ref="K176:K179" si="30">+J176/H176</f>
        <v>0.68625834367830563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45.002018999999997</v>
      </c>
      <c r="I177" s="32">
        <f t="shared" si="29"/>
        <v>2.643611226065835E-2</v>
      </c>
      <c r="J177" s="34">
        <v>39.290803999999994</v>
      </c>
      <c r="K177" s="32">
        <f t="shared" si="30"/>
        <v>0.87308980514852008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132.10504499999999</v>
      </c>
      <c r="I178" s="32">
        <f t="shared" si="29"/>
        <v>7.7604158156089023E-2</v>
      </c>
      <c r="J178" s="34">
        <v>101.03918400000001</v>
      </c>
      <c r="K178" s="32">
        <f t="shared" si="30"/>
        <v>0.76483970767354126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61">
        <f>SUM(H175:H178)</f>
        <v>1702.2933840000001</v>
      </c>
      <c r="I179" s="43">
        <f>SUM(I175:I178)</f>
        <v>1</v>
      </c>
      <c r="J179" s="61">
        <f>SUM(J175:J178)</f>
        <v>1266.0027369999998</v>
      </c>
      <c r="K179" s="43">
        <f t="shared" si="30"/>
        <v>0.74370419864123716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05" t="s">
        <v>100</v>
      </c>
      <c r="G180" s="105"/>
      <c r="H180" s="105"/>
      <c r="I180" s="105"/>
      <c r="J180" s="105"/>
      <c r="K180" s="105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23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TRANSPORTE cuenta con el mayor presupuesto de los GL en consjunto en esta región equivalente a 21.0% del presupuesto total, con un avance de 73.7%.  El sector de SANEAMIENTO es el segundo sector con mayor presupuesto equivalente al 20.5% del total y con un avance del 65.2%, en tanto el sector EDUCACION tiene una ejecución del 67.7%.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0"/>
    </row>
    <row r="183" spans="2:15" x14ac:dyDescent="0.25">
      <c r="B183" s="7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08" t="s">
        <v>23</v>
      </c>
      <c r="F185" s="108"/>
      <c r="G185" s="108"/>
      <c r="H185" s="108"/>
      <c r="I185" s="108"/>
      <c r="J185" s="108"/>
      <c r="K185" s="108"/>
      <c r="L185" s="108"/>
      <c r="M185" s="2"/>
      <c r="N185" s="2"/>
      <c r="O185" s="10"/>
    </row>
    <row r="186" spans="2:15" x14ac:dyDescent="0.25">
      <c r="B186" s="7"/>
      <c r="C186" s="2"/>
      <c r="D186" s="21"/>
      <c r="E186" s="21"/>
      <c r="F186" s="109" t="s">
        <v>1</v>
      </c>
      <c r="G186" s="109"/>
      <c r="H186" s="109"/>
      <c r="I186" s="109"/>
      <c r="J186" s="109"/>
      <c r="K186" s="109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12" t="s">
        <v>22</v>
      </c>
      <c r="G187" s="112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102</v>
      </c>
      <c r="G188" s="29"/>
      <c r="H188" s="34">
        <v>358.32386000000002</v>
      </c>
      <c r="I188" s="32">
        <f>+H188/H$196</f>
        <v>0.21049477332633518</v>
      </c>
      <c r="J188" s="34">
        <v>263.92665299999999</v>
      </c>
      <c r="K188" s="32">
        <f>+J188/H188</f>
        <v>0.73655896930782105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110</v>
      </c>
      <c r="G189" s="29"/>
      <c r="H189" s="34">
        <v>348.46446500000002</v>
      </c>
      <c r="I189" s="32">
        <f t="shared" ref="I189:I195" si="31">+H189/H$196</f>
        <v>0.20470294267442213</v>
      </c>
      <c r="J189" s="34">
        <v>227.30805599999999</v>
      </c>
      <c r="K189" s="32">
        <f t="shared" ref="K189:K191" si="32">+J189/H189</f>
        <v>0.65231344607835406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104</v>
      </c>
      <c r="G190" s="29"/>
      <c r="H190" s="34">
        <v>266.02523200000002</v>
      </c>
      <c r="I190" s="32">
        <f t="shared" si="31"/>
        <v>0.156274608419673</v>
      </c>
      <c r="J190" s="34">
        <v>180.13913400000001</v>
      </c>
      <c r="K190" s="32">
        <f t="shared" si="32"/>
        <v>0.67715055690657189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103</v>
      </c>
      <c r="G191" s="29"/>
      <c r="H191" s="34">
        <v>208.25887299999999</v>
      </c>
      <c r="I191" s="32">
        <f t="shared" si="31"/>
        <v>0.12234017646866448</v>
      </c>
      <c r="J191" s="34">
        <v>176.51828599999999</v>
      </c>
      <c r="K191" s="32">
        <f t="shared" si="32"/>
        <v>0.84759070985657348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111</v>
      </c>
      <c r="G192" s="29"/>
      <c r="H192" s="34">
        <v>132.10504499999999</v>
      </c>
      <c r="I192" s="32">
        <f t="shared" si="31"/>
        <v>7.7604158156089037E-2</v>
      </c>
      <c r="J192" s="34">
        <v>101.03918400000001</v>
      </c>
      <c r="K192" s="32">
        <f>+J192/H192</f>
        <v>0.76483970767354126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112</v>
      </c>
      <c r="G193" s="29"/>
      <c r="H193" s="34">
        <v>70.399756999999994</v>
      </c>
      <c r="I193" s="32">
        <f t="shared" si="31"/>
        <v>4.1355830705619427E-2</v>
      </c>
      <c r="J193" s="34">
        <v>63.228721</v>
      </c>
      <c r="K193" s="32">
        <f t="shared" ref="K193:K196" si="33">+J193/H193</f>
        <v>0.8981383415854689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113</v>
      </c>
      <c r="G194" s="29"/>
      <c r="H194" s="34">
        <v>69.940309999999997</v>
      </c>
      <c r="I194" s="32">
        <f t="shared" si="31"/>
        <v>4.1085931871306623E-2</v>
      </c>
      <c r="J194" s="34">
        <v>56.647562999999998</v>
      </c>
      <c r="K194" s="32">
        <f t="shared" si="33"/>
        <v>0.80994154872919499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248.77584200000004</v>
      </c>
      <c r="I195" s="32">
        <f t="shared" si="31"/>
        <v>0.14614157837789027</v>
      </c>
      <c r="J195" s="34">
        <v>197.19514000000001</v>
      </c>
      <c r="K195" s="32">
        <f t="shared" si="33"/>
        <v>0.7926619337901788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61">
        <f>SUM(H188:H195)</f>
        <v>1702.2933839999998</v>
      </c>
      <c r="I196" s="43">
        <f>SUM(I188:I195)</f>
        <v>1</v>
      </c>
      <c r="J196" s="61">
        <f>SUM(J188:J195)</f>
        <v>1266.002737</v>
      </c>
      <c r="K196" s="43">
        <f t="shared" si="33"/>
        <v>0.74370419864123738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05" t="s">
        <v>101</v>
      </c>
      <c r="G197" s="105"/>
      <c r="H197" s="105"/>
      <c r="I197" s="105"/>
      <c r="J197" s="105"/>
      <c r="K197" s="105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23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751 proyectos que no cuentan con ningún avance en ejecución del gasto, mientras que 274 (7.5% de proyectos) no superan el 50,0% de ejecución, 2114 proyectos (57.5%) tienen un nivel de ejecución mayor al 50,0% pero no culminan y solo 536 proyectos por S/ 31.2 millones se han ejecutado al 100,0%.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0"/>
    </row>
    <row r="200" spans="2:15" x14ac:dyDescent="0.25">
      <c r="B200" s="7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08" t="s">
        <v>35</v>
      </c>
      <c r="F202" s="108"/>
      <c r="G202" s="108"/>
      <c r="H202" s="108"/>
      <c r="I202" s="108"/>
      <c r="J202" s="108"/>
      <c r="K202" s="108"/>
      <c r="L202" s="108"/>
      <c r="M202" s="2"/>
      <c r="N202" s="2"/>
      <c r="O202" s="10"/>
    </row>
    <row r="203" spans="2:15" x14ac:dyDescent="0.25">
      <c r="B203" s="7"/>
      <c r="C203" s="2"/>
      <c r="D203" s="2"/>
      <c r="E203" s="21"/>
      <c r="F203" s="109" t="s">
        <v>36</v>
      </c>
      <c r="G203" s="109"/>
      <c r="H203" s="109"/>
      <c r="I203" s="109"/>
      <c r="J203" s="109"/>
      <c r="K203" s="109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56.133099000000051</v>
      </c>
      <c r="I205" s="34">
        <v>0</v>
      </c>
      <c r="J205" s="44">
        <v>751</v>
      </c>
      <c r="K205" s="32">
        <f>+J205/J$209</f>
        <v>0.20435374149659863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0.24252034241764739</v>
      </c>
      <c r="H206" s="34">
        <v>290.78045700000001</v>
      </c>
      <c r="I206" s="34">
        <v>70.520175999999992</v>
      </c>
      <c r="J206" s="44">
        <v>274</v>
      </c>
      <c r="K206" s="32">
        <f t="shared" ref="K206:K208" si="35">+J206/J$209</f>
        <v>7.4557823129251702E-2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0.87924487177824373</v>
      </c>
      <c r="H207" s="60">
        <v>1324.202924999998</v>
      </c>
      <c r="I207" s="60">
        <v>1164.2986309999985</v>
      </c>
      <c r="J207" s="60">
        <v>2114</v>
      </c>
      <c r="K207" s="32">
        <f t="shared" si="35"/>
        <v>0.57523809523809522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1.0002278609905546</v>
      </c>
      <c r="H208" s="34">
        <v>31.176903000000014</v>
      </c>
      <c r="I208" s="34">
        <v>31.184007000000015</v>
      </c>
      <c r="J208" s="44">
        <v>536</v>
      </c>
      <c r="K208" s="32">
        <f t="shared" si="35"/>
        <v>0.14585034013605441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0.7437042438743332</v>
      </c>
      <c r="H209" s="61">
        <f t="shared" ref="H209:J209" si="36">SUM(H205:H208)</f>
        <v>1702.2933839999982</v>
      </c>
      <c r="I209" s="61">
        <f t="shared" si="36"/>
        <v>1266.0028139999986</v>
      </c>
      <c r="J209" s="61">
        <f t="shared" si="36"/>
        <v>3675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05" t="s">
        <v>97</v>
      </c>
      <c r="G210" s="105"/>
      <c r="H210" s="105"/>
      <c r="I210" s="105"/>
      <c r="J210" s="105"/>
      <c r="K210" s="105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F148:K148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C84:N85"/>
    <mergeCell ref="E87:L87"/>
    <mergeCell ref="F88:K88"/>
    <mergeCell ref="F89:G89"/>
    <mergeCell ref="C120:N121"/>
    <mergeCell ref="C71:N72"/>
    <mergeCell ref="E74:L74"/>
    <mergeCell ref="F75:K75"/>
    <mergeCell ref="F76:G76"/>
    <mergeCell ref="F82:K82"/>
    <mergeCell ref="F40:G40"/>
    <mergeCell ref="C35:N36"/>
    <mergeCell ref="F56:K56"/>
    <mergeCell ref="F63:K63"/>
    <mergeCell ref="C69:N69"/>
    <mergeCell ref="B1:O2"/>
    <mergeCell ref="C7:N7"/>
    <mergeCell ref="C9:N10"/>
    <mergeCell ref="E14:F15"/>
    <mergeCell ref="G14:I14"/>
    <mergeCell ref="J14:L14"/>
    <mergeCell ref="E12:L12"/>
    <mergeCell ref="E13:L13"/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</mergeCells>
  <conditionalFormatting sqref="I81">
    <cfRule type="cellIs" dxfId="9" priority="2" operator="equal">
      <formula>0</formula>
    </cfRule>
  </conditionalFormatting>
  <conditionalFormatting sqref="I101">
    <cfRule type="cellIs" dxfId="8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2"/>
  <sheetViews>
    <sheetView zoomScaleNormal="100" workbookViewId="0"/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24" t="s">
        <v>124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15" customHeight="1" x14ac:dyDescent="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06" t="s">
        <v>39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8"/>
    </row>
    <row r="8" spans="2:15" x14ac:dyDescent="0.25">
      <c r="B8" s="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"/>
    </row>
    <row r="9" spans="2:15" ht="15" customHeight="1" x14ac:dyDescent="0.25">
      <c r="B9" s="7"/>
      <c r="C9" s="107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359.0 millones, lo que equivale a un avance en la ejecución del presupuesto del 74.5%. Por niveles de gobierno, el Gobierno Nacional viene ejecutando el 84.8%  del presupuesto para esta región, el Gobierno Regional un 64.2%  y de los gobiernos locales en conjunto que tienen una ejecución del 55.3%.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9"/>
    </row>
    <row r="10" spans="2:15" x14ac:dyDescent="0.25">
      <c r="B10" s="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14" t="s">
        <v>43</v>
      </c>
      <c r="F12" s="115"/>
      <c r="G12" s="115"/>
      <c r="H12" s="115"/>
      <c r="I12" s="115"/>
      <c r="J12" s="115"/>
      <c r="K12" s="115"/>
      <c r="L12" s="115"/>
      <c r="M12" s="28"/>
      <c r="N12" s="28"/>
      <c r="O12" s="9"/>
    </row>
    <row r="13" spans="2:15" x14ac:dyDescent="0.25">
      <c r="B13" s="7"/>
      <c r="C13" s="28"/>
      <c r="E13" s="116" t="s">
        <v>12</v>
      </c>
      <c r="F13" s="116"/>
      <c r="G13" s="116"/>
      <c r="H13" s="116"/>
      <c r="I13" s="116"/>
      <c r="J13" s="116"/>
      <c r="K13" s="116"/>
      <c r="L13" s="116"/>
      <c r="M13" s="28"/>
      <c r="N13" s="28"/>
      <c r="O13" s="9"/>
    </row>
    <row r="14" spans="2:15" x14ac:dyDescent="0.25">
      <c r="B14" s="7"/>
      <c r="C14" s="2"/>
      <c r="E14" s="117" t="s">
        <v>11</v>
      </c>
      <c r="F14" s="118"/>
      <c r="G14" s="122">
        <v>2016</v>
      </c>
      <c r="H14" s="122"/>
      <c r="I14" s="122"/>
      <c r="J14" s="122">
        <v>2015</v>
      </c>
      <c r="K14" s="122"/>
      <c r="L14" s="122"/>
      <c r="M14" s="2"/>
      <c r="N14" s="2"/>
      <c r="O14" s="10"/>
    </row>
    <row r="15" spans="2:15" x14ac:dyDescent="0.25">
      <c r="B15" s="7"/>
      <c r="C15" s="2"/>
      <c r="E15" s="119"/>
      <c r="F15" s="120"/>
      <c r="G15" s="84" t="s">
        <v>6</v>
      </c>
      <c r="H15" s="84" t="s">
        <v>7</v>
      </c>
      <c r="I15" s="84" t="s">
        <v>8</v>
      </c>
      <c r="J15" s="84" t="s">
        <v>6</v>
      </c>
      <c r="K15" s="84" t="s">
        <v>7</v>
      </c>
      <c r="L15" s="84" t="s">
        <v>8</v>
      </c>
      <c r="M15" s="2"/>
      <c r="N15" s="84" t="s">
        <v>61</v>
      </c>
      <c r="O15" s="10"/>
    </row>
    <row r="16" spans="2:15" x14ac:dyDescent="0.25">
      <c r="B16" s="7"/>
      <c r="C16" s="16"/>
      <c r="D16" s="95" t="str">
        <f>+FIXED(I16*100,1)</f>
        <v>84.8</v>
      </c>
      <c r="E16" s="62" t="s">
        <v>9</v>
      </c>
      <c r="F16" s="31"/>
      <c r="G16" s="56">
        <f>+H81</f>
        <v>270.35062800000003</v>
      </c>
      <c r="H16" s="56">
        <f>+J81</f>
        <v>229.32744700000001</v>
      </c>
      <c r="I16" s="57">
        <f>+H16/G16</f>
        <v>0.84825934637740141</v>
      </c>
      <c r="J16" s="58">
        <v>265.034313</v>
      </c>
      <c r="K16" s="58">
        <v>245.11055200000001</v>
      </c>
      <c r="L16" s="59">
        <f t="shared" ref="L16:L19" si="0">+K16/J16</f>
        <v>0.92482573001783364</v>
      </c>
      <c r="N16" s="58">
        <f>+(I16-L16)*100</f>
        <v>-7.6566383640432223</v>
      </c>
      <c r="O16" s="10"/>
    </row>
    <row r="17" spans="2:15" x14ac:dyDescent="0.25">
      <c r="B17" s="7"/>
      <c r="C17" s="16"/>
      <c r="D17" s="95" t="str">
        <f t="shared" ref="D17:D19" si="1">+FIXED(I17*100,1)</f>
        <v>64.2</v>
      </c>
      <c r="E17" s="62" t="s">
        <v>10</v>
      </c>
      <c r="F17" s="31"/>
      <c r="G17" s="56">
        <f>+H130</f>
        <v>142.17836299999999</v>
      </c>
      <c r="H17" s="56">
        <f>+J130</f>
        <v>91.333544000000003</v>
      </c>
      <c r="I17" s="57">
        <f t="shared" ref="I17:I19" si="2">+H17/G17</f>
        <v>0.64238708389123889</v>
      </c>
      <c r="J17" s="58">
        <v>140.62712400000001</v>
      </c>
      <c r="K17" s="58">
        <v>109.344393</v>
      </c>
      <c r="L17" s="59">
        <f t="shared" si="0"/>
        <v>0.77754838390920933</v>
      </c>
      <c r="N17" s="58">
        <f t="shared" ref="N17:N19" si="3">+(I17-L17)*100</f>
        <v>-13.516130001797045</v>
      </c>
      <c r="O17" s="10"/>
    </row>
    <row r="18" spans="2:15" x14ac:dyDescent="0.25">
      <c r="B18" s="7"/>
      <c r="C18" s="16"/>
      <c r="D18" s="95" t="str">
        <f t="shared" si="1"/>
        <v>55.3</v>
      </c>
      <c r="E18" s="62" t="s">
        <v>5</v>
      </c>
      <c r="F18" s="31"/>
      <c r="G18" s="56">
        <f>+H179</f>
        <v>69.421606999999995</v>
      </c>
      <c r="H18" s="56">
        <f>+J179</f>
        <v>38.360916999999993</v>
      </c>
      <c r="I18" s="57">
        <f t="shared" si="2"/>
        <v>0.55257892546336473</v>
      </c>
      <c r="J18" s="58">
        <v>43.286441000000003</v>
      </c>
      <c r="K18" s="58">
        <v>33.138793999999997</v>
      </c>
      <c r="L18" s="59">
        <f t="shared" si="0"/>
        <v>0.76556984668709527</v>
      </c>
      <c r="N18" s="58">
        <f t="shared" si="3"/>
        <v>-21.299092122373054</v>
      </c>
      <c r="O18" s="10"/>
    </row>
    <row r="19" spans="2:15" x14ac:dyDescent="0.25">
      <c r="B19" s="7"/>
      <c r="C19" s="95" t="str">
        <f>+FIXED(H19,1)</f>
        <v>359.0</v>
      </c>
      <c r="D19" s="95" t="str">
        <f t="shared" si="1"/>
        <v>74.5</v>
      </c>
      <c r="E19" s="65" t="s">
        <v>0</v>
      </c>
      <c r="F19" s="41"/>
      <c r="G19" s="66">
        <f t="shared" ref="G19:H19" si="4">SUM(G16:G18)</f>
        <v>481.95059800000001</v>
      </c>
      <c r="H19" s="61">
        <f t="shared" si="4"/>
        <v>359.021908</v>
      </c>
      <c r="I19" s="67">
        <f t="shared" si="2"/>
        <v>0.74493508149978471</v>
      </c>
      <c r="J19" s="66">
        <f t="shared" ref="J19:K19" si="5">SUM(J16:J18)</f>
        <v>448.947878</v>
      </c>
      <c r="K19" s="66">
        <f t="shared" si="5"/>
        <v>387.59373900000003</v>
      </c>
      <c r="L19" s="67">
        <f t="shared" si="0"/>
        <v>0.86333794632614347</v>
      </c>
      <c r="N19" s="58">
        <f t="shared" si="3"/>
        <v>-11.840286482635875</v>
      </c>
      <c r="O19" s="10"/>
    </row>
    <row r="20" spans="2:15" x14ac:dyDescent="0.25">
      <c r="B20" s="7"/>
      <c r="C20" s="2"/>
      <c r="E20" s="105" t="s">
        <v>92</v>
      </c>
      <c r="F20" s="105"/>
      <c r="G20" s="105"/>
      <c r="H20" s="105"/>
      <c r="I20" s="105"/>
      <c r="J20" s="105"/>
      <c r="K20" s="105"/>
      <c r="L20" s="105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07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83.0%, mientras que para los proyectos del tipo social el avance es de53.0%. Cabe resaltar que estos dos tipos de proyectos absorben el 92.2% del presupuesto total en esta región.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"/>
    </row>
    <row r="23" spans="2:15" x14ac:dyDescent="0.25">
      <c r="B23" s="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1" t="s">
        <v>40</v>
      </c>
      <c r="F25" s="121"/>
      <c r="G25" s="121"/>
      <c r="H25" s="121"/>
      <c r="I25" s="121"/>
      <c r="J25" s="121"/>
      <c r="K25" s="121"/>
      <c r="L25" s="121"/>
      <c r="M25" s="2"/>
      <c r="N25" s="2"/>
      <c r="O25" s="10"/>
    </row>
    <row r="26" spans="2:15" x14ac:dyDescent="0.25">
      <c r="B26" s="7"/>
      <c r="C26" s="2"/>
      <c r="D26" s="2"/>
      <c r="E26" s="21"/>
      <c r="F26" s="109" t="s">
        <v>1</v>
      </c>
      <c r="G26" s="109"/>
      <c r="H26" s="109"/>
      <c r="I26" s="109"/>
      <c r="J26" s="109"/>
      <c r="K26" s="109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12" t="s">
        <v>34</v>
      </c>
      <c r="G27" s="112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5" t="str">
        <f>+FIXED(K28*100,1)</f>
        <v>83.0</v>
      </c>
      <c r="F28" s="30" t="s">
        <v>13</v>
      </c>
      <c r="G28" s="31"/>
      <c r="H28" s="83">
        <f>+H77+H126+H175</f>
        <v>327.73051599999997</v>
      </c>
      <c r="I28" s="32">
        <f>+H28/H$32</f>
        <v>0.68000852651706845</v>
      </c>
      <c r="J28" s="60">
        <f t="shared" ref="J28:J31" si="6">+J77+J126+J175</f>
        <v>272.020129</v>
      </c>
      <c r="K28" s="32">
        <f>+J28/H28</f>
        <v>0.83001159708911587</v>
      </c>
      <c r="L28" s="21"/>
      <c r="M28" s="2"/>
      <c r="N28" s="2"/>
      <c r="O28" s="10"/>
    </row>
    <row r="29" spans="2:15" x14ac:dyDescent="0.25">
      <c r="B29" s="7"/>
      <c r="C29" s="2"/>
      <c r="D29" s="2"/>
      <c r="E29" s="95" t="str">
        <f>+FIXED(K29*100,1)</f>
        <v>53.0</v>
      </c>
      <c r="F29" s="30" t="s">
        <v>14</v>
      </c>
      <c r="G29" s="31"/>
      <c r="H29" s="60">
        <f t="shared" ref="H29:H31" si="7">+H78+H127+H176</f>
        <v>116.64553000000001</v>
      </c>
      <c r="I29" s="32">
        <f t="shared" ref="I29:I31" si="8">+H29/H$32</f>
        <v>0.24202798063547587</v>
      </c>
      <c r="J29" s="60">
        <f t="shared" si="6"/>
        <v>61.829058000000003</v>
      </c>
      <c r="K29" s="32">
        <f t="shared" ref="K29:K32" si="9">+J29/H29</f>
        <v>0.53005938590188584</v>
      </c>
      <c r="L29" s="21"/>
      <c r="M29" s="2"/>
      <c r="N29" s="2"/>
      <c r="O29" s="10"/>
    </row>
    <row r="30" spans="2:15" x14ac:dyDescent="0.25">
      <c r="B30" s="7"/>
      <c r="C30" s="2"/>
      <c r="D30" s="2"/>
      <c r="E30" s="95" t="str">
        <f>+FIXED((I28+I29)*100,1)</f>
        <v>92.2</v>
      </c>
      <c r="F30" s="30" t="s">
        <v>25</v>
      </c>
      <c r="G30" s="31"/>
      <c r="H30" s="60">
        <f t="shared" si="7"/>
        <v>11.099983</v>
      </c>
      <c r="I30" s="32">
        <f t="shared" si="8"/>
        <v>2.3031370945617129E-2</v>
      </c>
      <c r="J30" s="60">
        <f t="shared" si="6"/>
        <v>5.9705860000000008</v>
      </c>
      <c r="K30" s="32">
        <f t="shared" si="9"/>
        <v>0.53789145442835373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60">
        <f t="shared" si="7"/>
        <v>26.474568999999999</v>
      </c>
      <c r="I31" s="32">
        <f t="shared" si="8"/>
        <v>5.4932121901838583E-2</v>
      </c>
      <c r="J31" s="60">
        <f t="shared" si="6"/>
        <v>19.202134999999998</v>
      </c>
      <c r="K31" s="32">
        <f t="shared" si="9"/>
        <v>0.72530491431229716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481.95059799999996</v>
      </c>
      <c r="I32" s="43">
        <f>SUM(I28:I31)</f>
        <v>1</v>
      </c>
      <c r="J32" s="42">
        <f>SUM(J28:J31)</f>
        <v>359.02190800000005</v>
      </c>
      <c r="K32" s="43">
        <f t="shared" si="9"/>
        <v>0.74493508149978493</v>
      </c>
      <c r="L32" s="21"/>
      <c r="M32" s="2"/>
      <c r="N32" s="2"/>
      <c r="O32" s="10"/>
    </row>
    <row r="33" spans="2:15" x14ac:dyDescent="0.25">
      <c r="B33" s="7"/>
      <c r="C33" s="2"/>
      <c r="E33" s="21"/>
      <c r="F33" s="105" t="s">
        <v>93</v>
      </c>
      <c r="G33" s="105"/>
      <c r="H33" s="105"/>
      <c r="I33" s="105"/>
      <c r="J33" s="105"/>
      <c r="K33" s="105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07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TRANSPORTE cuenta con el mayor presupuesto en esta región equivalente a 58.2% del presupuesto total, con un avance de 89.6%.  El sector de EDUCACION es el segundo sector con mayor presupuesto equivalente al 18.6% del total y con un avance del 59.7% y el sector GESTION con una ejecución del 78.7%. Los 3 sectores concentran el 81.8% del total presupuestado.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"/>
    </row>
    <row r="36" spans="2:15" x14ac:dyDescent="0.25">
      <c r="B36" s="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08" t="s">
        <v>41</v>
      </c>
      <c r="F38" s="108"/>
      <c r="G38" s="108"/>
      <c r="H38" s="108"/>
      <c r="I38" s="108"/>
      <c r="J38" s="108"/>
      <c r="K38" s="108"/>
      <c r="L38" s="108"/>
      <c r="M38" s="2"/>
      <c r="N38" s="2"/>
      <c r="O38" s="10"/>
    </row>
    <row r="39" spans="2:15" x14ac:dyDescent="0.25">
      <c r="B39" s="7"/>
      <c r="C39" s="2"/>
      <c r="D39" s="21"/>
      <c r="E39" s="21"/>
      <c r="F39" s="109" t="s">
        <v>1</v>
      </c>
      <c r="G39" s="109"/>
      <c r="H39" s="109"/>
      <c r="I39" s="109"/>
      <c r="J39" s="109"/>
      <c r="K39" s="109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0" t="s">
        <v>22</v>
      </c>
      <c r="G40" s="111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102</v>
      </c>
      <c r="G41" s="29"/>
      <c r="H41" s="34">
        <v>280.591656</v>
      </c>
      <c r="I41" s="32">
        <f>+H41/H$49</f>
        <v>0.58220003702537171</v>
      </c>
      <c r="J41" s="34">
        <v>251.37019199999997</v>
      </c>
      <c r="K41" s="32">
        <f>+J41/H41</f>
        <v>0.89585768722930226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104</v>
      </c>
      <c r="G42" s="29"/>
      <c r="H42" s="34">
        <v>89.809428999999994</v>
      </c>
      <c r="I42" s="32">
        <f t="shared" ref="I42:I48" si="10">+H42/H$49</f>
        <v>0.18634571545857903</v>
      </c>
      <c r="J42" s="34">
        <v>53.591583</v>
      </c>
      <c r="K42" s="32">
        <f t="shared" ref="K42:K49" si="11">+J42/H42</f>
        <v>0.5967255732134763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129</v>
      </c>
      <c r="G43" s="29"/>
      <c r="H43" s="34">
        <v>23.990069000000002</v>
      </c>
      <c r="I43" s="32">
        <f t="shared" si="10"/>
        <v>4.9777029221571803E-2</v>
      </c>
      <c r="J43" s="34">
        <v>18.882355</v>
      </c>
      <c r="K43" s="32">
        <f t="shared" si="11"/>
        <v>0.78709048314950658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110</v>
      </c>
      <c r="G44" s="29"/>
      <c r="H44" s="34">
        <v>21.445774</v>
      </c>
      <c r="I44" s="32">
        <f t="shared" si="10"/>
        <v>4.4497867808434594E-2</v>
      </c>
      <c r="J44" s="34">
        <v>6.3304229999999997</v>
      </c>
      <c r="K44" s="32">
        <f t="shared" si="11"/>
        <v>0.29518277120704522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112</v>
      </c>
      <c r="G45" s="29"/>
      <c r="H45" s="34">
        <v>15.520715000000001</v>
      </c>
      <c r="I45" s="32">
        <f t="shared" si="10"/>
        <v>3.2203954231840172E-2</v>
      </c>
      <c r="J45" s="34">
        <v>3.0337779999999999</v>
      </c>
      <c r="K45" s="32">
        <f t="shared" si="11"/>
        <v>0.19546638154234516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108</v>
      </c>
      <c r="G46" s="29"/>
      <c r="H46" s="34">
        <v>15.362098</v>
      </c>
      <c r="I46" s="32">
        <f t="shared" si="10"/>
        <v>3.1874839586774416E-2</v>
      </c>
      <c r="J46" s="34">
        <v>5.1094239999999997</v>
      </c>
      <c r="K46" s="32">
        <f t="shared" si="11"/>
        <v>0.33259936240479654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116</v>
      </c>
      <c r="G47" s="29"/>
      <c r="H47" s="34">
        <v>10.094339</v>
      </c>
      <c r="I47" s="32">
        <f t="shared" si="10"/>
        <v>2.0944758740604363E-2</v>
      </c>
      <c r="J47" s="34">
        <v>5.0605140000000004</v>
      </c>
      <c r="K47" s="32">
        <f t="shared" si="11"/>
        <v>0.50132197858621552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126</v>
      </c>
      <c r="G48" s="29"/>
      <c r="H48" s="34">
        <v>25.136518000000002</v>
      </c>
      <c r="I48" s="32">
        <f t="shared" si="10"/>
        <v>5.2155797926824038E-2</v>
      </c>
      <c r="J48" s="34">
        <v>15.643639</v>
      </c>
      <c r="K48" s="32">
        <f t="shared" si="11"/>
        <v>0.62234709676177102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481.95059799999996</v>
      </c>
      <c r="I49" s="43">
        <f>SUM(I41:I48)</f>
        <v>1.0000000000000002</v>
      </c>
      <c r="J49" s="42">
        <f>SUM(J41:J48)</f>
        <v>359.021908</v>
      </c>
      <c r="K49" s="43">
        <f t="shared" si="11"/>
        <v>0.74493508149978482</v>
      </c>
      <c r="L49" s="21"/>
      <c r="M49" s="2"/>
      <c r="N49" s="2"/>
      <c r="O49" s="10"/>
    </row>
    <row r="50" spans="2:15" x14ac:dyDescent="0.25">
      <c r="B50" s="7"/>
      <c r="C50" s="2"/>
      <c r="E50" s="21"/>
      <c r="F50" s="105" t="s">
        <v>94</v>
      </c>
      <c r="G50" s="105"/>
      <c r="H50" s="105"/>
      <c r="I50" s="105"/>
      <c r="J50" s="105"/>
      <c r="K50" s="105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07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54 proyectos que no cuentan con ningún avance en ejecución del gasto, mientras que 73 (22.3% de proyectos) no superan el 50,0% de ejecución, 169 proyectos (51.5%) tienen un nivel de ejecución mayor al 50,0% pero no culminan y 32 proyectos por S/ 202.9 millones se han ejecutado al 100,0%.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"/>
    </row>
    <row r="53" spans="2:15" x14ac:dyDescent="0.25">
      <c r="B53" s="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08" t="s">
        <v>42</v>
      </c>
      <c r="F55" s="108"/>
      <c r="G55" s="108"/>
      <c r="H55" s="108"/>
      <c r="I55" s="108"/>
      <c r="J55" s="108"/>
      <c r="K55" s="108"/>
      <c r="L55" s="108"/>
      <c r="M55" s="2"/>
      <c r="N55" s="2"/>
      <c r="O55" s="10"/>
    </row>
    <row r="56" spans="2:15" x14ac:dyDescent="0.25">
      <c r="B56" s="7"/>
      <c r="C56" s="2"/>
      <c r="D56" s="2"/>
      <c r="E56" s="21"/>
      <c r="F56" s="109" t="s">
        <v>36</v>
      </c>
      <c r="G56" s="109"/>
      <c r="H56" s="109"/>
      <c r="I56" s="109"/>
      <c r="J56" s="109"/>
      <c r="K56" s="109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12.864338999999999</v>
      </c>
      <c r="I58" s="60">
        <f t="shared" ref="I58:J58" si="12">+I107+I156+I205</f>
        <v>0</v>
      </c>
      <c r="J58" s="63">
        <f t="shared" si="12"/>
        <v>54</v>
      </c>
      <c r="K58" s="32">
        <f>+J58/J$62</f>
        <v>0.16463414634146342</v>
      </c>
      <c r="L58" s="2"/>
      <c r="M58" s="82">
        <f>SUM(J59:J61)</f>
        <v>274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0.13750419816937182</v>
      </c>
      <c r="H59" s="60">
        <f t="shared" ref="H59:J61" si="14">+H108+H157+H206</f>
        <v>77.325370000000021</v>
      </c>
      <c r="I59" s="60">
        <f t="shared" si="14"/>
        <v>10.632563000000001</v>
      </c>
      <c r="J59" s="63">
        <f t="shared" si="14"/>
        <v>73</v>
      </c>
      <c r="K59" s="32">
        <f t="shared" ref="K59:K61" si="15">+J59/J$62</f>
        <v>0.2225609756097561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0.77039740031947779</v>
      </c>
      <c r="H60" s="60">
        <f t="shared" si="14"/>
        <v>188.89828800000001</v>
      </c>
      <c r="I60" s="60">
        <f t="shared" si="14"/>
        <v>145.52675000000002</v>
      </c>
      <c r="J60" s="63">
        <f t="shared" si="14"/>
        <v>169</v>
      </c>
      <c r="K60" s="32">
        <f t="shared" si="15"/>
        <v>0.5152439024390244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si="14"/>
        <v>202.86260100000001</v>
      </c>
      <c r="I61" s="60">
        <f t="shared" si="14"/>
        <v>202.86260100000001</v>
      </c>
      <c r="J61" s="63">
        <f t="shared" si="14"/>
        <v>32</v>
      </c>
      <c r="K61" s="32">
        <f t="shared" si="15"/>
        <v>9.7560975609756101E-2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0.74493509394919355</v>
      </c>
      <c r="H62" s="61">
        <f t="shared" ref="H62:J62" si="16">SUM(H58:H61)</f>
        <v>481.95059800000001</v>
      </c>
      <c r="I62" s="61">
        <f t="shared" si="16"/>
        <v>359.02191400000004</v>
      </c>
      <c r="J62" s="64">
        <f t="shared" si="16"/>
        <v>328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05" t="s">
        <v>95</v>
      </c>
      <c r="G63" s="105"/>
      <c r="H63" s="105"/>
      <c r="I63" s="105"/>
      <c r="J63" s="105"/>
      <c r="K63" s="105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06" t="s">
        <v>19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23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84.8%, equivalente a S/ 229.3 millones de soles.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9"/>
    </row>
    <row r="72" spans="2:15" x14ac:dyDescent="0.25">
      <c r="B72" s="7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1" t="s">
        <v>24</v>
      </c>
      <c r="F74" s="121"/>
      <c r="G74" s="121"/>
      <c r="H74" s="121"/>
      <c r="I74" s="121"/>
      <c r="J74" s="121"/>
      <c r="K74" s="121"/>
      <c r="L74" s="121"/>
      <c r="M74" s="2"/>
      <c r="N74" s="2"/>
      <c r="O74" s="10"/>
    </row>
    <row r="75" spans="2:15" x14ac:dyDescent="0.25">
      <c r="B75" s="7"/>
      <c r="C75" s="2"/>
      <c r="D75" s="2"/>
      <c r="E75" s="21"/>
      <c r="F75" s="109" t="s">
        <v>1</v>
      </c>
      <c r="G75" s="109"/>
      <c r="H75" s="109"/>
      <c r="I75" s="109"/>
      <c r="J75" s="109"/>
      <c r="K75" s="109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12" t="s">
        <v>34</v>
      </c>
      <c r="G76" s="112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229.78916799999999</v>
      </c>
      <c r="I77" s="32">
        <f>+H77/$H$81</f>
        <v>0.84996720629034372</v>
      </c>
      <c r="J77" s="34">
        <v>209.527737</v>
      </c>
      <c r="K77" s="32">
        <f>+J77/H77</f>
        <v>0.91182599608002413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25.213411999999998</v>
      </c>
      <c r="I78" s="32">
        <f>+H78/$H$81</f>
        <v>9.3261895437505682E-2</v>
      </c>
      <c r="J78" s="34">
        <v>12.939782999999998</v>
      </c>
      <c r="K78" s="32">
        <f t="shared" ref="K78:K81" si="17">+J78/H78</f>
        <v>0.51321031044905785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10.094339</v>
      </c>
      <c r="I79" s="32">
        <f>+H79/$H$81</f>
        <v>3.7337952845443355E-2</v>
      </c>
      <c r="J79" s="34">
        <v>5.0605140000000004</v>
      </c>
      <c r="K79" s="32">
        <f t="shared" si="17"/>
        <v>0.50132197858621552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5.2537090000000006</v>
      </c>
      <c r="I80" s="32">
        <f>+H80/$H$81</f>
        <v>1.9432945426707128E-2</v>
      </c>
      <c r="J80" s="34">
        <v>1.7994129999999999</v>
      </c>
      <c r="K80" s="32">
        <f t="shared" si="17"/>
        <v>0.34250336286231303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270.35062800000003</v>
      </c>
      <c r="I81" s="43">
        <f>+H81/$H$81</f>
        <v>1</v>
      </c>
      <c r="J81" s="42">
        <f>SUM(J77:J80)</f>
        <v>229.32744700000001</v>
      </c>
      <c r="K81" s="43">
        <f t="shared" si="17"/>
        <v>0.84825934637740141</v>
      </c>
      <c r="L81" s="21"/>
      <c r="M81" s="2"/>
      <c r="N81" s="2"/>
      <c r="O81" s="10"/>
    </row>
    <row r="82" spans="2:15" x14ac:dyDescent="0.25">
      <c r="B82" s="7"/>
      <c r="C82" s="2"/>
      <c r="E82" s="21"/>
      <c r="F82" s="105" t="s">
        <v>96</v>
      </c>
      <c r="G82" s="105"/>
      <c r="H82" s="105"/>
      <c r="I82" s="105"/>
      <c r="J82" s="105"/>
      <c r="K82" s="105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23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TRANSPORTE cuenta con el mayor presupuesto del GN en esta región equivalente a 77.7% del presupuesto total, con un avance de 96.3%.  El sector de EDUCACION es el segundo sector con mayor presupuesto equivalente al 9.3% del total y con un avance del 51.3%, en tanto el sector INDUSTRIA tiene una ejecución del 33.3%.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0"/>
    </row>
    <row r="85" spans="2:15" x14ac:dyDescent="0.25">
      <c r="B85" s="7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08" t="s">
        <v>23</v>
      </c>
      <c r="F87" s="108"/>
      <c r="G87" s="108"/>
      <c r="H87" s="108"/>
      <c r="I87" s="108"/>
      <c r="J87" s="108"/>
      <c r="K87" s="108"/>
      <c r="L87" s="108"/>
      <c r="M87" s="2"/>
      <c r="N87" s="2"/>
      <c r="O87" s="10"/>
    </row>
    <row r="88" spans="2:15" x14ac:dyDescent="0.25">
      <c r="B88" s="7"/>
      <c r="C88" s="2"/>
      <c r="D88" s="21"/>
      <c r="E88" s="21"/>
      <c r="F88" s="109" t="s">
        <v>1</v>
      </c>
      <c r="G88" s="109"/>
      <c r="H88" s="109"/>
      <c r="I88" s="109"/>
      <c r="J88" s="109"/>
      <c r="K88" s="109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0" t="s">
        <v>22</v>
      </c>
      <c r="G89" s="111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102</v>
      </c>
      <c r="G90" s="29"/>
      <c r="H90" s="34">
        <v>210.15072599999999</v>
      </c>
      <c r="I90" s="32">
        <f t="shared" ref="I90:I97" si="18">+H90/$H$98</f>
        <v>0.7773265686662284</v>
      </c>
      <c r="J90" s="34">
        <v>202.31742499999999</v>
      </c>
      <c r="K90" s="32">
        <f>+J90/H90</f>
        <v>0.96272532030177238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104</v>
      </c>
      <c r="G91" s="29"/>
      <c r="H91" s="34">
        <v>25.157744999999998</v>
      </c>
      <c r="I91" s="32">
        <f t="shared" si="18"/>
        <v>9.3055988758420777E-2</v>
      </c>
      <c r="J91" s="34">
        <v>12.915051999999999</v>
      </c>
      <c r="K91" s="32">
        <f t="shared" ref="K91:K98" si="19">+J91/H91</f>
        <v>0.5133628630069984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108</v>
      </c>
      <c r="G92" s="29"/>
      <c r="H92" s="34">
        <v>15.362098</v>
      </c>
      <c r="I92" s="32">
        <f t="shared" si="18"/>
        <v>5.6822867820377314E-2</v>
      </c>
      <c r="J92" s="34">
        <v>5.1094239999999997</v>
      </c>
      <c r="K92" s="32">
        <f t="shared" si="19"/>
        <v>0.33259936240479654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116</v>
      </c>
      <c r="G93" s="29"/>
      <c r="H93" s="34">
        <v>10.094339</v>
      </c>
      <c r="I93" s="32">
        <f t="shared" si="18"/>
        <v>3.7337952845443355E-2</v>
      </c>
      <c r="J93" s="34">
        <v>5.0605140000000004</v>
      </c>
      <c r="K93" s="32">
        <f t="shared" si="19"/>
        <v>0.50132197858621552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111</v>
      </c>
      <c r="G94" s="29"/>
      <c r="H94" s="34">
        <v>2.769209</v>
      </c>
      <c r="I94" s="32">
        <f t="shared" si="18"/>
        <v>1.0243027806097789E-2</v>
      </c>
      <c r="J94" s="34">
        <v>1.479633</v>
      </c>
      <c r="K94" s="32">
        <f t="shared" si="19"/>
        <v>0.53431611698503068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117</v>
      </c>
      <c r="G95" s="29"/>
      <c r="H95" s="34">
        <v>2.4845000000000002</v>
      </c>
      <c r="I95" s="32">
        <f t="shared" si="18"/>
        <v>9.1899176206093371E-3</v>
      </c>
      <c r="J95" s="34">
        <v>0.31978000000000001</v>
      </c>
      <c r="K95" s="32">
        <f t="shared" si="19"/>
        <v>0.12871000201247734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112</v>
      </c>
      <c r="G96" s="29"/>
      <c r="H96" s="34">
        <v>1.6714039999999999</v>
      </c>
      <c r="I96" s="32">
        <f t="shared" si="18"/>
        <v>6.1823566394674685E-3</v>
      </c>
      <c r="J96" s="34">
        <v>0.40120400000000001</v>
      </c>
      <c r="K96" s="32">
        <f t="shared" si="19"/>
        <v>0.24004010999136058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2.6606070000000002</v>
      </c>
      <c r="I97" s="32">
        <f t="shared" si="18"/>
        <v>9.8413198433554214E-3</v>
      </c>
      <c r="J97" s="34">
        <v>1.724415</v>
      </c>
      <c r="K97" s="32">
        <f t="shared" si="19"/>
        <v>0.6481284158088737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270.35062800000003</v>
      </c>
      <c r="I98" s="43">
        <f>SUM(I90:I97)</f>
        <v>0.99999999999999989</v>
      </c>
      <c r="J98" s="42">
        <f>SUM(J90:J97)</f>
        <v>229.32744700000001</v>
      </c>
      <c r="K98" s="43">
        <f t="shared" si="19"/>
        <v>0.84825934637740141</v>
      </c>
      <c r="L98" s="21"/>
      <c r="M98" s="2"/>
      <c r="N98" s="2"/>
      <c r="O98" s="10"/>
    </row>
    <row r="99" spans="2:15" x14ac:dyDescent="0.25">
      <c r="B99" s="7"/>
      <c r="C99" s="2"/>
      <c r="E99" s="21"/>
      <c r="F99" s="105" t="s">
        <v>97</v>
      </c>
      <c r="G99" s="105"/>
      <c r="H99" s="105"/>
      <c r="I99" s="105"/>
      <c r="J99" s="105"/>
      <c r="K99" s="105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23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9 proyectos que no cuentan con ningún avance en ejecución del gasto, mientras que 16 (41.0% de proyectos) no superan el 50,0% de ejecución, 13 proyectos (33.3%) tienen un nivel de ejecución mayor al 50,0% pero no culminan y solo 1 proyectos por S/ 202.0 millones se han ejecutado al 100,0%.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0"/>
    </row>
    <row r="102" spans="2:15" x14ac:dyDescent="0.25">
      <c r="B102" s="7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08" t="s">
        <v>35</v>
      </c>
      <c r="F104" s="108"/>
      <c r="G104" s="108"/>
      <c r="H104" s="108"/>
      <c r="I104" s="108"/>
      <c r="J104" s="108"/>
      <c r="K104" s="108"/>
      <c r="L104" s="108"/>
      <c r="M104" s="2"/>
      <c r="N104" s="2"/>
      <c r="O104" s="10"/>
    </row>
    <row r="105" spans="2:15" x14ac:dyDescent="0.25">
      <c r="B105" s="7"/>
      <c r="C105" s="2"/>
      <c r="D105" s="2"/>
      <c r="E105" s="21"/>
      <c r="F105" s="109" t="s">
        <v>36</v>
      </c>
      <c r="G105" s="109"/>
      <c r="H105" s="109"/>
      <c r="I105" s="109"/>
      <c r="J105" s="109"/>
      <c r="K105" s="109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8.0189769999999996</v>
      </c>
      <c r="I107" s="34">
        <v>0</v>
      </c>
      <c r="J107" s="44">
        <v>9</v>
      </c>
      <c r="K107" s="32">
        <f>+J107/$J$111</f>
        <v>0.23076923076923078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0.17297098550565057</v>
      </c>
      <c r="H108" s="34">
        <v>25.973570000000002</v>
      </c>
      <c r="I108" s="34">
        <v>4.4926740000000009</v>
      </c>
      <c r="J108" s="44">
        <v>16</v>
      </c>
      <c r="K108" s="32">
        <f>+J108/$J$111</f>
        <v>0.41025641025641024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0.66488974444152105</v>
      </c>
      <c r="H109" s="34">
        <v>34.386611000000002</v>
      </c>
      <c r="I109" s="34">
        <v>22.863304999999997</v>
      </c>
      <c r="J109" s="44">
        <v>13</v>
      </c>
      <c r="K109" s="32">
        <f>+J109/$J$111</f>
        <v>0.33333333333333331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201.97147000000001</v>
      </c>
      <c r="I110" s="34">
        <v>201.97147000000001</v>
      </c>
      <c r="J110" s="44">
        <v>1</v>
      </c>
      <c r="K110" s="32">
        <f>+J110/$J$111</f>
        <v>2.564102564102564E-2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0.84825935377520179</v>
      </c>
      <c r="H111" s="42">
        <f t="shared" ref="H111:J111" si="21">SUM(H107:H110)</f>
        <v>270.35062800000003</v>
      </c>
      <c r="I111" s="42">
        <f t="shared" si="21"/>
        <v>229.327449</v>
      </c>
      <c r="J111" s="45">
        <f t="shared" si="21"/>
        <v>39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05" t="s">
        <v>98</v>
      </c>
      <c r="G112" s="105"/>
      <c r="H112" s="105"/>
      <c r="I112" s="105"/>
      <c r="J112" s="105"/>
      <c r="K112" s="105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06" t="s">
        <v>32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23" t="str">
        <f>+CONCATENATE("Los proyectos del Gobierno Regional tienen una ejecución del ",FIXED(K130*100,1),"%, equivalente a S/ ",FIXED(J130,1)," millones de soles.")</f>
        <v>Los proyectos del Gobierno Regional tienen una ejecución del 64.2%, equivalente a S/ 91.3 millones de soles.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9"/>
    </row>
    <row r="121" spans="2:15" x14ac:dyDescent="0.25">
      <c r="B121" s="7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1" t="s">
        <v>37</v>
      </c>
      <c r="F123" s="121"/>
      <c r="G123" s="121"/>
      <c r="H123" s="121"/>
      <c r="I123" s="121"/>
      <c r="J123" s="121"/>
      <c r="K123" s="121"/>
      <c r="L123" s="121"/>
      <c r="M123" s="2"/>
      <c r="N123" s="2"/>
      <c r="O123" s="10"/>
    </row>
    <row r="124" spans="2:15" x14ac:dyDescent="0.25">
      <c r="B124" s="7"/>
      <c r="C124" s="2"/>
      <c r="D124" s="2"/>
      <c r="E124" s="21"/>
      <c r="F124" s="109" t="s">
        <v>1</v>
      </c>
      <c r="G124" s="109"/>
      <c r="H124" s="109"/>
      <c r="I124" s="109"/>
      <c r="J124" s="109"/>
      <c r="K124" s="109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12" t="s">
        <v>34</v>
      </c>
      <c r="G125" s="112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64.791844999999995</v>
      </c>
      <c r="I126" s="32">
        <f>+H126/H$130</f>
        <v>0.45570819379879907</v>
      </c>
      <c r="J126" s="34">
        <v>39.433807000000002</v>
      </c>
      <c r="K126" s="32">
        <f>+J126/H126</f>
        <v>0.60862299877399706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62.970935000000004</v>
      </c>
      <c r="I127" s="32">
        <f t="shared" ref="I127:I129" si="22">+H127/H$130</f>
        <v>0.44290097080383467</v>
      </c>
      <c r="J127" s="34">
        <v>39.479573000000002</v>
      </c>
      <c r="K127" s="32">
        <f t="shared" ref="K127:K130" si="23">+J127/H127</f>
        <v>0.62694913137306918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0</v>
      </c>
      <c r="I128" s="32">
        <f t="shared" si="22"/>
        <v>0</v>
      </c>
      <c r="J128" s="34">
        <v>0</v>
      </c>
      <c r="K128" s="32" t="e">
        <f t="shared" si="23"/>
        <v>#DIV/0!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14.415583</v>
      </c>
      <c r="I129" s="32">
        <f t="shared" si="22"/>
        <v>0.10139083539736635</v>
      </c>
      <c r="J129" s="34">
        <v>12.420164</v>
      </c>
      <c r="K129" s="32">
        <f t="shared" si="23"/>
        <v>0.86157902874965242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142.17836299999999</v>
      </c>
      <c r="I130" s="43">
        <f>SUM(I126:I129)</f>
        <v>1</v>
      </c>
      <c r="J130" s="42">
        <f>SUM(J126:J129)</f>
        <v>91.333544000000003</v>
      </c>
      <c r="K130" s="43">
        <f t="shared" si="23"/>
        <v>0.64238708389123889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05" t="s">
        <v>99</v>
      </c>
      <c r="G131" s="105"/>
      <c r="H131" s="105"/>
      <c r="I131" s="105"/>
      <c r="J131" s="105"/>
      <c r="K131" s="105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23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EDUCACION cuenta con el mayor presupuesto del GR en esta región equivalente a 40.3% del presupuesto total, con un avance de 67.0%.  El sector de TRANSPORTE es el segundo sector con mayor presupuesto equivalente al 30.9% del total y con un avance del 68.9%, en tanto el sector PLANEAMIENTO, GESTION Y RESERVA DE CONTINGENCIA tiene una ejecución del 86.2%.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0"/>
    </row>
    <row r="134" spans="2:15" x14ac:dyDescent="0.25">
      <c r="B134" s="7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08" t="s">
        <v>23</v>
      </c>
      <c r="F136" s="108"/>
      <c r="G136" s="108"/>
      <c r="H136" s="108"/>
      <c r="I136" s="108"/>
      <c r="J136" s="108"/>
      <c r="K136" s="108"/>
      <c r="L136" s="108"/>
      <c r="M136" s="2"/>
      <c r="N136" s="2"/>
      <c r="O136" s="10"/>
    </row>
    <row r="137" spans="2:15" x14ac:dyDescent="0.25">
      <c r="B137" s="7"/>
      <c r="C137" s="2"/>
      <c r="D137" s="21"/>
      <c r="E137" s="21"/>
      <c r="F137" s="109" t="s">
        <v>1</v>
      </c>
      <c r="G137" s="109"/>
      <c r="H137" s="109"/>
      <c r="I137" s="109"/>
      <c r="J137" s="109"/>
      <c r="K137" s="109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12" t="s">
        <v>22</v>
      </c>
      <c r="G138" s="112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104</v>
      </c>
      <c r="G139" s="29"/>
      <c r="H139" s="34">
        <v>57.350005000000003</v>
      </c>
      <c r="I139" s="32">
        <f>+H139/H$147</f>
        <v>0.403366614932822</v>
      </c>
      <c r="J139" s="34">
        <v>38.427678999999998</v>
      </c>
      <c r="K139" s="32">
        <f>+J139/H139</f>
        <v>0.67005537314251318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102</v>
      </c>
      <c r="G140" s="29"/>
      <c r="H140" s="34">
        <v>43.891784999999999</v>
      </c>
      <c r="I140" s="32">
        <f t="shared" ref="I140:I146" si="24">+H140/H$147</f>
        <v>0.30870931465148449</v>
      </c>
      <c r="J140" s="34">
        <v>30.247693000000002</v>
      </c>
      <c r="K140" s="32">
        <f t="shared" ref="K140:K147" si="25">+J140/H140</f>
        <v>0.68914246709264626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111</v>
      </c>
      <c r="G141" s="29"/>
      <c r="H141" s="34">
        <v>14.415583</v>
      </c>
      <c r="I141" s="32">
        <f t="shared" si="24"/>
        <v>0.10139083539736631</v>
      </c>
      <c r="J141" s="34">
        <v>12.420164</v>
      </c>
      <c r="K141" s="32">
        <f t="shared" si="25"/>
        <v>0.86157902874965242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112</v>
      </c>
      <c r="G142" s="29"/>
      <c r="H142" s="34">
        <v>11.500569</v>
      </c>
      <c r="I142" s="32">
        <f t="shared" si="24"/>
        <v>8.088832053861808E-2</v>
      </c>
      <c r="J142" s="34">
        <v>1.2120500000000001</v>
      </c>
      <c r="K142" s="32">
        <f t="shared" si="25"/>
        <v>0.10539043763834642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103</v>
      </c>
      <c r="G143" s="29"/>
      <c r="H143" s="34">
        <v>8.4057890000000004</v>
      </c>
      <c r="I143" s="32">
        <f t="shared" si="24"/>
        <v>5.91214360795531E-2</v>
      </c>
      <c r="J143" s="34">
        <v>7.4691809999999998</v>
      </c>
      <c r="K143" s="32">
        <f>+J143/H143</f>
        <v>0.88857583743774671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109</v>
      </c>
      <c r="G144" s="29"/>
      <c r="H144" s="34">
        <v>3.5633180000000002</v>
      </c>
      <c r="I144" s="32">
        <f t="shared" si="24"/>
        <v>2.5062308531432445E-2</v>
      </c>
      <c r="J144" s="34">
        <v>0.77857600000000005</v>
      </c>
      <c r="K144" s="32">
        <f t="shared" si="25"/>
        <v>0.21849747903498931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110</v>
      </c>
      <c r="G145" s="29"/>
      <c r="H145" s="34">
        <v>2.0576120000000002</v>
      </c>
      <c r="I145" s="32">
        <f t="shared" si="24"/>
        <v>1.4472047339580071E-2</v>
      </c>
      <c r="J145" s="34">
        <v>0.27331800000000001</v>
      </c>
      <c r="K145" s="32">
        <f t="shared" si="25"/>
        <v>0.1328326234489301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0.99370199999999997</v>
      </c>
      <c r="I146" s="32">
        <f t="shared" si="24"/>
        <v>6.9891225291431975E-3</v>
      </c>
      <c r="J146" s="34">
        <v>0.50488299999999997</v>
      </c>
      <c r="K146" s="32">
        <f t="shared" si="25"/>
        <v>0.50808290614288787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142.17836300000005</v>
      </c>
      <c r="I147" s="43">
        <f>SUM(I139:I146)</f>
        <v>0.99999999999999956</v>
      </c>
      <c r="J147" s="42">
        <f>SUM(J139:J146)</f>
        <v>91.333544000000018</v>
      </c>
      <c r="K147" s="43">
        <f t="shared" si="25"/>
        <v>0.64238708389123866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05" t="s">
        <v>96</v>
      </c>
      <c r="G148" s="105"/>
      <c r="H148" s="105"/>
      <c r="I148" s="105"/>
      <c r="J148" s="105"/>
      <c r="K148" s="105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23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15 proyectos que no cuentan con ningún avance en ejecución del gasto, mientras que 37 (26.8% de proyectos) no superan el 50,0% de ejecución, 84 proyectos (60.9%) tienen un nivel de ejecución mayor al 50,0% pero no culminan y solo 2 proyectos por S/ 0.0 millones se han ejecutado al 100,0%.</v>
      </c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0"/>
    </row>
    <row r="151" spans="2:15" x14ac:dyDescent="0.25">
      <c r="B151" s="7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08" t="s">
        <v>35</v>
      </c>
      <c r="F153" s="108"/>
      <c r="G153" s="108"/>
      <c r="H153" s="108"/>
      <c r="I153" s="108"/>
      <c r="J153" s="108"/>
      <c r="K153" s="108"/>
      <c r="L153" s="108"/>
      <c r="M153" s="2"/>
      <c r="N153" s="2"/>
      <c r="O153" s="10"/>
    </row>
    <row r="154" spans="2:15" x14ac:dyDescent="0.25">
      <c r="B154" s="7"/>
      <c r="C154" s="2"/>
      <c r="D154" s="2"/>
      <c r="E154" s="21"/>
      <c r="F154" s="109" t="s">
        <v>36</v>
      </c>
      <c r="G154" s="109"/>
      <c r="H154" s="109"/>
      <c r="I154" s="109"/>
      <c r="J154" s="109"/>
      <c r="K154" s="109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1.4079969999999999</v>
      </c>
      <c r="I156" s="34">
        <v>0</v>
      </c>
      <c r="J156" s="44">
        <v>15</v>
      </c>
      <c r="K156" s="32">
        <f>+J156/J$160</f>
        <v>0.10869565217391304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0.11344018529492883</v>
      </c>
      <c r="H157" s="34">
        <v>31.873943000000011</v>
      </c>
      <c r="I157" s="34">
        <v>3.6157860000000008</v>
      </c>
      <c r="J157" s="44">
        <v>37</v>
      </c>
      <c r="K157" s="32">
        <f t="shared" ref="K157:K159" si="27">+J157/J$160</f>
        <v>0.26811594202898553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0.80550235283059457</v>
      </c>
      <c r="H158" s="34">
        <v>108.889055</v>
      </c>
      <c r="I158" s="34">
        <v>87.710390000000018</v>
      </c>
      <c r="J158" s="44">
        <v>84</v>
      </c>
      <c r="K158" s="32">
        <f t="shared" si="27"/>
        <v>0.60869565217391308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7.3679999999999995E-3</v>
      </c>
      <c r="I159" s="34">
        <v>7.3679999999999995E-3</v>
      </c>
      <c r="J159" s="44">
        <v>2</v>
      </c>
      <c r="K159" s="32">
        <f t="shared" si="27"/>
        <v>1.4492753623188406E-2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0.64238708389123877</v>
      </c>
      <c r="H160" s="42">
        <f t="shared" ref="H160:J160" si="28">SUM(H156:H159)</f>
        <v>142.17836300000002</v>
      </c>
      <c r="I160" s="42">
        <f t="shared" si="28"/>
        <v>91.333544000000018</v>
      </c>
      <c r="J160" s="45">
        <f t="shared" si="28"/>
        <v>138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05" t="s">
        <v>93</v>
      </c>
      <c r="G161" s="105"/>
      <c r="H161" s="105"/>
      <c r="I161" s="105"/>
      <c r="J161" s="105"/>
      <c r="K161" s="105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06" t="s">
        <v>33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23" t="str">
        <f>+CONCATENATE("Los proyectos de los Gobierno Locales tienen una ejecución del ",FIXED(K179*100,1),"%, equivalente a S/ ",FIXED(J179,1)," millones de soles.")</f>
        <v>Los proyectos de los Gobierno Locales tienen una ejecución del 55.3%, equivalente a S/ 38.4 millones de soles.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9"/>
    </row>
    <row r="170" spans="2:15" x14ac:dyDescent="0.25">
      <c r="B170" s="7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1" t="s">
        <v>38</v>
      </c>
      <c r="F172" s="121"/>
      <c r="G172" s="121"/>
      <c r="H172" s="121"/>
      <c r="I172" s="121"/>
      <c r="J172" s="121"/>
      <c r="K172" s="121"/>
      <c r="L172" s="121"/>
      <c r="M172" s="2"/>
      <c r="N172" s="2"/>
      <c r="O172" s="10"/>
    </row>
    <row r="173" spans="2:15" x14ac:dyDescent="0.25">
      <c r="B173" s="7"/>
      <c r="C173" s="2"/>
      <c r="D173" s="2"/>
      <c r="E173" s="21"/>
      <c r="F173" s="109" t="s">
        <v>1</v>
      </c>
      <c r="G173" s="109"/>
      <c r="H173" s="109"/>
      <c r="I173" s="109"/>
      <c r="J173" s="109"/>
      <c r="K173" s="109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12" t="s">
        <v>34</v>
      </c>
      <c r="G174" s="112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33.149502999999996</v>
      </c>
      <c r="I175" s="32">
        <f>+H175/H$179</f>
        <v>0.47750987671604894</v>
      </c>
      <c r="J175" s="34">
        <v>23.058584999999997</v>
      </c>
      <c r="K175" s="32">
        <f>+J175/H175</f>
        <v>0.6955936865780461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28.461183000000002</v>
      </c>
      <c r="I176" s="32">
        <f t="shared" ref="I176:I178" si="29">+H176/H$179</f>
        <v>0.40997585953318544</v>
      </c>
      <c r="J176" s="34">
        <v>9.4097020000000011</v>
      </c>
      <c r="K176" s="32">
        <f t="shared" ref="K176:K179" si="30">+J176/H176</f>
        <v>0.33061528046813798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1.005644</v>
      </c>
      <c r="I177" s="32">
        <f t="shared" si="29"/>
        <v>1.4486037466692468E-2</v>
      </c>
      <c r="J177" s="34">
        <v>0.91007199999999999</v>
      </c>
      <c r="K177" s="32">
        <f t="shared" si="30"/>
        <v>0.90496438103344723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6.8052770000000002</v>
      </c>
      <c r="I178" s="32">
        <f t="shared" si="29"/>
        <v>9.8028226284073205E-2</v>
      </c>
      <c r="J178" s="34">
        <v>4.982558</v>
      </c>
      <c r="K178" s="32">
        <f t="shared" si="30"/>
        <v>0.73216093922407566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42">
        <f>SUM(H175:H178)</f>
        <v>69.421606999999995</v>
      </c>
      <c r="I179" s="43">
        <f>SUM(I175:I178)</f>
        <v>1</v>
      </c>
      <c r="J179" s="42">
        <f>SUM(J175:J178)</f>
        <v>38.360916999999993</v>
      </c>
      <c r="K179" s="43">
        <f t="shared" si="30"/>
        <v>0.55257892546336473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05" t="s">
        <v>100</v>
      </c>
      <c r="G180" s="105"/>
      <c r="H180" s="105"/>
      <c r="I180" s="105"/>
      <c r="J180" s="105"/>
      <c r="K180" s="105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23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TRANSPORTE cuenta con el mayor presupuesto de los GL en consjunto en esta región equivalente a 38.2% del presupuesto total, con un avance de 70.8%.  El sector de SANEAMIENTO es el segundo sector con mayor presupuesto equivalente al 27.8% del total y con un avance del 31.2%, en tanto el sector EDUCACION tiene una ejecución del 30.8%.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0"/>
    </row>
    <row r="183" spans="2:15" x14ac:dyDescent="0.25">
      <c r="B183" s="7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08" t="s">
        <v>23</v>
      </c>
      <c r="F185" s="108"/>
      <c r="G185" s="108"/>
      <c r="H185" s="108"/>
      <c r="I185" s="108"/>
      <c r="J185" s="108"/>
      <c r="K185" s="108"/>
      <c r="L185" s="108"/>
      <c r="M185" s="2"/>
      <c r="N185" s="2"/>
      <c r="O185" s="10"/>
    </row>
    <row r="186" spans="2:15" x14ac:dyDescent="0.25">
      <c r="B186" s="7"/>
      <c r="C186" s="2"/>
      <c r="D186" s="21"/>
      <c r="E186" s="21"/>
      <c r="F186" s="109" t="s">
        <v>1</v>
      </c>
      <c r="G186" s="109"/>
      <c r="H186" s="109"/>
      <c r="I186" s="109"/>
      <c r="J186" s="109"/>
      <c r="K186" s="109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12" t="s">
        <v>22</v>
      </c>
      <c r="G187" s="112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102</v>
      </c>
      <c r="G188" s="29"/>
      <c r="H188" s="34">
        <v>26.549144999999999</v>
      </c>
      <c r="I188" s="32">
        <f>+H188/H$196</f>
        <v>0.38243345475998564</v>
      </c>
      <c r="J188" s="34">
        <v>18.805074000000001</v>
      </c>
      <c r="K188" s="32">
        <f>+J188/H188</f>
        <v>0.70831184959063664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110</v>
      </c>
      <c r="G189" s="29"/>
      <c r="H189" s="34">
        <v>19.332495000000002</v>
      </c>
      <c r="I189" s="32">
        <f t="shared" ref="I189:I195" si="31">+H189/H$196</f>
        <v>0.27847950854839765</v>
      </c>
      <c r="J189" s="34">
        <v>6.0323739999999999</v>
      </c>
      <c r="K189" s="32">
        <f t="shared" ref="K189:K191" si="32">+J189/H189</f>
        <v>0.31203287521864093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104</v>
      </c>
      <c r="G190" s="29"/>
      <c r="H190" s="34">
        <v>7.301679</v>
      </c>
      <c r="I190" s="32">
        <f t="shared" si="31"/>
        <v>0.10517876660504273</v>
      </c>
      <c r="J190" s="34">
        <v>2.2488519999999999</v>
      </c>
      <c r="K190" s="32">
        <f t="shared" si="32"/>
        <v>0.30799107985985141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111</v>
      </c>
      <c r="G191" s="29"/>
      <c r="H191" s="34">
        <v>6.8052770000000002</v>
      </c>
      <c r="I191" s="32">
        <f t="shared" si="31"/>
        <v>9.8028226284073205E-2</v>
      </c>
      <c r="J191" s="34">
        <v>4.982558</v>
      </c>
      <c r="K191" s="32">
        <f t="shared" si="32"/>
        <v>0.73216093922407566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112</v>
      </c>
      <c r="G192" s="29"/>
      <c r="H192" s="34">
        <v>2.3487420000000001</v>
      </c>
      <c r="I192" s="32">
        <f t="shared" si="31"/>
        <v>3.3833011096962941E-2</v>
      </c>
      <c r="J192" s="34">
        <v>1.4205239999999999</v>
      </c>
      <c r="K192" s="32">
        <f>+J192/H192</f>
        <v>0.60480205999637249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118</v>
      </c>
      <c r="G193" s="29"/>
      <c r="H193" s="34">
        <v>1.557572</v>
      </c>
      <c r="I193" s="32">
        <f t="shared" si="31"/>
        <v>2.2436415221560632E-2</v>
      </c>
      <c r="J193" s="34">
        <v>1.205398</v>
      </c>
      <c r="K193" s="32">
        <f t="shared" ref="K193:K196" si="33">+J193/H193</f>
        <v>0.77389552457286082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113</v>
      </c>
      <c r="G194" s="29"/>
      <c r="H194" s="34">
        <v>1.3796250000000001</v>
      </c>
      <c r="I194" s="32">
        <f t="shared" si="31"/>
        <v>1.9873135463429999E-2</v>
      </c>
      <c r="J194" s="34">
        <v>0.92463700000000004</v>
      </c>
      <c r="K194" s="32">
        <f t="shared" si="33"/>
        <v>0.67020893358702549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4.1470720000000005</v>
      </c>
      <c r="I195" s="32">
        <f t="shared" si="31"/>
        <v>5.9737482020547301E-2</v>
      </c>
      <c r="J195" s="34">
        <v>2.7415000000000003</v>
      </c>
      <c r="K195" s="32">
        <f t="shared" si="33"/>
        <v>0.66106882156856694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42">
        <f>SUM(H188:H195)</f>
        <v>69.421606999999995</v>
      </c>
      <c r="I196" s="43">
        <f>SUM(I188:I195)</f>
        <v>1</v>
      </c>
      <c r="J196" s="42">
        <f>SUM(J188:J195)</f>
        <v>38.360917000000001</v>
      </c>
      <c r="K196" s="43">
        <f t="shared" si="33"/>
        <v>0.55257892546336485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05" t="s">
        <v>101</v>
      </c>
      <c r="G197" s="105"/>
      <c r="H197" s="105"/>
      <c r="I197" s="105"/>
      <c r="J197" s="105"/>
      <c r="K197" s="105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23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30 proyectos que no cuentan con ningún avance en ejecución del gasto, mientras que 20 (13.2% de proyectos) no superan el 50,0% de ejecución, 72 proyectos (47.7%) tienen un nivel de ejecución mayor al 50,0% pero no culminan y solo 29 proyectos por S/ 0.9 millones se han ejecutado al 100,0%.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0"/>
    </row>
    <row r="200" spans="2:15" x14ac:dyDescent="0.25">
      <c r="B200" s="7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08" t="s">
        <v>35</v>
      </c>
      <c r="F202" s="108"/>
      <c r="G202" s="108"/>
      <c r="H202" s="108"/>
      <c r="I202" s="108"/>
      <c r="J202" s="108"/>
      <c r="K202" s="108"/>
      <c r="L202" s="108"/>
      <c r="M202" s="2"/>
      <c r="N202" s="2"/>
      <c r="O202" s="10"/>
    </row>
    <row r="203" spans="2:15" x14ac:dyDescent="0.25">
      <c r="B203" s="7"/>
      <c r="C203" s="2"/>
      <c r="D203" s="2"/>
      <c r="E203" s="21"/>
      <c r="F203" s="109" t="s">
        <v>36</v>
      </c>
      <c r="G203" s="109"/>
      <c r="H203" s="109"/>
      <c r="I203" s="109"/>
      <c r="J203" s="109"/>
      <c r="K203" s="109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3.4373650000000002</v>
      </c>
      <c r="I205" s="34">
        <v>0</v>
      </c>
      <c r="J205" s="44">
        <v>30</v>
      </c>
      <c r="K205" s="32">
        <f>+J205/J$209</f>
        <v>0.19867549668874171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0.12958833202235748</v>
      </c>
      <c r="H206" s="34">
        <v>19.477857</v>
      </c>
      <c r="I206" s="34">
        <v>2.5241029999999998</v>
      </c>
      <c r="J206" s="44">
        <v>20</v>
      </c>
      <c r="K206" s="32">
        <f t="shared" ref="K206:K208" si="35">+J206/J$209</f>
        <v>0.13245033112582782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0.76613428750324764</v>
      </c>
      <c r="H207" s="34">
        <v>45.622622000000014</v>
      </c>
      <c r="I207" s="34">
        <v>34.953054999999999</v>
      </c>
      <c r="J207" s="44">
        <v>72</v>
      </c>
      <c r="K207" s="32">
        <f t="shared" si="35"/>
        <v>0.47682119205298013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</v>
      </c>
      <c r="H208" s="34">
        <v>0.88376300000000008</v>
      </c>
      <c r="I208" s="34">
        <v>0.88376300000000008</v>
      </c>
      <c r="J208" s="44">
        <v>29</v>
      </c>
      <c r="K208" s="32">
        <f t="shared" si="35"/>
        <v>0.19205298013245034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0.55257898308231312</v>
      </c>
      <c r="H209" s="42">
        <f t="shared" ref="H209:J209" si="36">SUM(H205:H208)</f>
        <v>69.421607000000009</v>
      </c>
      <c r="I209" s="42">
        <f t="shared" si="36"/>
        <v>38.360920999999998</v>
      </c>
      <c r="J209" s="45">
        <f t="shared" si="36"/>
        <v>151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05" t="s">
        <v>97</v>
      </c>
      <c r="G210" s="105"/>
      <c r="H210" s="105"/>
      <c r="I210" s="105"/>
      <c r="J210" s="105"/>
      <c r="K210" s="105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E202:L202"/>
    <mergeCell ref="F203:K203"/>
    <mergeCell ref="F210:K210"/>
    <mergeCell ref="E185:L185"/>
    <mergeCell ref="F186:K186"/>
    <mergeCell ref="F187:G187"/>
    <mergeCell ref="F197:K197"/>
    <mergeCell ref="C199:N200"/>
    <mergeCell ref="E172:L172"/>
    <mergeCell ref="F173:K173"/>
    <mergeCell ref="F174:G174"/>
    <mergeCell ref="F180:K180"/>
    <mergeCell ref="C182:N183"/>
    <mergeCell ref="E153:L153"/>
    <mergeCell ref="F154:K154"/>
    <mergeCell ref="F161:K161"/>
    <mergeCell ref="C167:N167"/>
    <mergeCell ref="C169:N170"/>
    <mergeCell ref="F124:K124"/>
    <mergeCell ref="F125:G125"/>
    <mergeCell ref="F131:K131"/>
    <mergeCell ref="F148:K148"/>
    <mergeCell ref="C150:N151"/>
    <mergeCell ref="E136:L136"/>
    <mergeCell ref="F137:K137"/>
    <mergeCell ref="F138:G138"/>
    <mergeCell ref="F105:K105"/>
    <mergeCell ref="F112:K112"/>
    <mergeCell ref="C118:N118"/>
    <mergeCell ref="C120:N121"/>
    <mergeCell ref="E123:L123"/>
    <mergeCell ref="F88:K88"/>
    <mergeCell ref="F89:G89"/>
    <mergeCell ref="F99:K99"/>
    <mergeCell ref="C101:N102"/>
    <mergeCell ref="E104:L104"/>
    <mergeCell ref="E87:L87"/>
    <mergeCell ref="F63:K63"/>
    <mergeCell ref="C69:N69"/>
    <mergeCell ref="C71:N72"/>
    <mergeCell ref="E74:L74"/>
    <mergeCell ref="F75:K75"/>
    <mergeCell ref="E12:L12"/>
    <mergeCell ref="E13:L13"/>
    <mergeCell ref="B1:O2"/>
    <mergeCell ref="C7:N7"/>
    <mergeCell ref="C9:N10"/>
    <mergeCell ref="E14:F15"/>
    <mergeCell ref="G14:I14"/>
    <mergeCell ref="J14:L14"/>
    <mergeCell ref="E20:L20"/>
    <mergeCell ref="C22:N23"/>
    <mergeCell ref="E25:L25"/>
    <mergeCell ref="F26:K26"/>
    <mergeCell ref="F27:G27"/>
    <mergeCell ref="F33:K33"/>
    <mergeCell ref="C133:N134"/>
    <mergeCell ref="C35:N36"/>
    <mergeCell ref="E38:L38"/>
    <mergeCell ref="F39:K39"/>
    <mergeCell ref="F40:G40"/>
    <mergeCell ref="F50:K50"/>
    <mergeCell ref="C52:N53"/>
    <mergeCell ref="E55:L55"/>
    <mergeCell ref="F56:K56"/>
    <mergeCell ref="F76:G76"/>
    <mergeCell ref="F82:K82"/>
    <mergeCell ref="C84:N85"/>
  </mergeCells>
  <conditionalFormatting sqref="I81">
    <cfRule type="cellIs" dxfId="7" priority="2" operator="equal">
      <formula>0</formula>
    </cfRule>
  </conditionalFormatting>
  <conditionalFormatting sqref="I101">
    <cfRule type="cellIs" dxfId="6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2"/>
  <sheetViews>
    <sheetView zoomScaleNormal="100" workbookViewId="0"/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24" t="s">
        <v>123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15" customHeight="1" x14ac:dyDescent="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06" t="s">
        <v>39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8"/>
    </row>
    <row r="8" spans="2:15" x14ac:dyDescent="0.25">
      <c r="B8" s="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"/>
    </row>
    <row r="9" spans="2:15" ht="15" customHeight="1" x14ac:dyDescent="0.25">
      <c r="B9" s="7"/>
      <c r="C9" s="107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401.6 millones, lo que equivale a un avance en la ejecución del presupuesto del 62.6%. Por niveles de gobierno, el Gobierno Nacional viene ejecutando el 48.2%  del presupuesto para esta región, el Gobierno Regional un 63.3%  y de los gobiernos locales en conjunto que tienen una ejecución del 65.8%.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9"/>
    </row>
    <row r="10" spans="2:15" x14ac:dyDescent="0.25">
      <c r="B10" s="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14" t="s">
        <v>43</v>
      </c>
      <c r="F12" s="115"/>
      <c r="G12" s="115"/>
      <c r="H12" s="115"/>
      <c r="I12" s="115"/>
      <c r="J12" s="115"/>
      <c r="K12" s="115"/>
      <c r="L12" s="115"/>
      <c r="M12" s="28"/>
      <c r="N12" s="28"/>
      <c r="O12" s="9"/>
    </row>
    <row r="13" spans="2:15" x14ac:dyDescent="0.25">
      <c r="B13" s="7"/>
      <c r="C13" s="28"/>
      <c r="E13" s="116" t="s">
        <v>12</v>
      </c>
      <c r="F13" s="116"/>
      <c r="G13" s="116"/>
      <c r="H13" s="116"/>
      <c r="I13" s="116"/>
      <c r="J13" s="116"/>
      <c r="K13" s="116"/>
      <c r="L13" s="116"/>
      <c r="M13" s="28"/>
      <c r="N13" s="28"/>
      <c r="O13" s="9"/>
    </row>
    <row r="14" spans="2:15" x14ac:dyDescent="0.25">
      <c r="B14" s="7"/>
      <c r="C14" s="2"/>
      <c r="E14" s="117" t="s">
        <v>11</v>
      </c>
      <c r="F14" s="118"/>
      <c r="G14" s="122">
        <v>2016</v>
      </c>
      <c r="H14" s="122"/>
      <c r="I14" s="122"/>
      <c r="J14" s="122">
        <v>2015</v>
      </c>
      <c r="K14" s="122"/>
      <c r="L14" s="122"/>
      <c r="M14" s="2"/>
      <c r="N14" s="2"/>
      <c r="O14" s="10"/>
    </row>
    <row r="15" spans="2:15" x14ac:dyDescent="0.25">
      <c r="B15" s="7"/>
      <c r="C15" s="2"/>
      <c r="E15" s="119"/>
      <c r="F15" s="120"/>
      <c r="G15" s="84" t="s">
        <v>6</v>
      </c>
      <c r="H15" s="84" t="s">
        <v>7</v>
      </c>
      <c r="I15" s="84" t="s">
        <v>8</v>
      </c>
      <c r="J15" s="84" t="s">
        <v>6</v>
      </c>
      <c r="K15" s="84" t="s">
        <v>7</v>
      </c>
      <c r="L15" s="84" t="s">
        <v>8</v>
      </c>
      <c r="M15" s="2"/>
      <c r="N15" s="84" t="s">
        <v>61</v>
      </c>
      <c r="O15" s="10"/>
    </row>
    <row r="16" spans="2:15" x14ac:dyDescent="0.25">
      <c r="B16" s="7"/>
      <c r="C16" s="16"/>
      <c r="D16" s="95" t="str">
        <f>+FIXED(I16*100,1)</f>
        <v>48.2</v>
      </c>
      <c r="E16" s="62" t="s">
        <v>9</v>
      </c>
      <c r="F16" s="31"/>
      <c r="G16" s="56">
        <f>+H81</f>
        <v>82.399449000000004</v>
      </c>
      <c r="H16" s="56">
        <f>+J81</f>
        <v>39.726724000000004</v>
      </c>
      <c r="I16" s="57">
        <f>+H16/G16</f>
        <v>0.48212366080263475</v>
      </c>
      <c r="J16" s="58">
        <v>80.817079000000007</v>
      </c>
      <c r="K16" s="58">
        <v>35.046500000000002</v>
      </c>
      <c r="L16" s="59">
        <f t="shared" ref="L16:L19" si="0">+K16/J16</f>
        <v>0.43365214919485023</v>
      </c>
      <c r="N16" s="58">
        <f>+(I16-L16)*100</f>
        <v>4.8471511607784512</v>
      </c>
      <c r="O16" s="10"/>
    </row>
    <row r="17" spans="2:15" x14ac:dyDescent="0.25">
      <c r="B17" s="7"/>
      <c r="C17" s="16"/>
      <c r="D17" s="95" t="str">
        <f t="shared" ref="D17:D19" si="1">+FIXED(I17*100,1)</f>
        <v>63.3</v>
      </c>
      <c r="E17" s="62" t="s">
        <v>10</v>
      </c>
      <c r="F17" s="31"/>
      <c r="G17" s="56">
        <f>+H130</f>
        <v>231.89971400000002</v>
      </c>
      <c r="H17" s="56">
        <f>+J130</f>
        <v>146.74088599999999</v>
      </c>
      <c r="I17" s="57">
        <f t="shared" ref="I17:I19" si="2">+H17/G17</f>
        <v>0.63277734788409434</v>
      </c>
      <c r="J17" s="58">
        <v>156.54363499999999</v>
      </c>
      <c r="K17" s="58">
        <v>135.39849100000001</v>
      </c>
      <c r="L17" s="59">
        <f t="shared" si="0"/>
        <v>0.86492492013488775</v>
      </c>
      <c r="N17" s="58">
        <f t="shared" ref="N17:N19" si="3">+(I17-L17)*100</f>
        <v>-23.214757225079342</v>
      </c>
      <c r="O17" s="10"/>
    </row>
    <row r="18" spans="2:15" x14ac:dyDescent="0.25">
      <c r="B18" s="7"/>
      <c r="C18" s="16"/>
      <c r="D18" s="95" t="str">
        <f t="shared" si="1"/>
        <v>65.8</v>
      </c>
      <c r="E18" s="62" t="s">
        <v>5</v>
      </c>
      <c r="F18" s="31"/>
      <c r="G18" s="56">
        <f>+H179</f>
        <v>327.09786600000001</v>
      </c>
      <c r="H18" s="56">
        <f>+J179</f>
        <v>215.17218299999999</v>
      </c>
      <c r="I18" s="57">
        <f t="shared" si="2"/>
        <v>0.65782203238219839</v>
      </c>
      <c r="J18" s="58">
        <v>312.773731</v>
      </c>
      <c r="K18" s="58">
        <v>189.08408600000001</v>
      </c>
      <c r="L18" s="59">
        <f t="shared" si="0"/>
        <v>0.60453953532306082</v>
      </c>
      <c r="N18" s="58">
        <f t="shared" si="3"/>
        <v>5.3282497059137572</v>
      </c>
      <c r="O18" s="10"/>
    </row>
    <row r="19" spans="2:15" x14ac:dyDescent="0.25">
      <c r="B19" s="7"/>
      <c r="C19" s="95" t="str">
        <f>+FIXED(H19,1)</f>
        <v>401.6</v>
      </c>
      <c r="D19" s="95" t="str">
        <f t="shared" si="1"/>
        <v>62.6</v>
      </c>
      <c r="E19" s="65" t="s">
        <v>0</v>
      </c>
      <c r="F19" s="41"/>
      <c r="G19" s="66">
        <f t="shared" ref="G19:H19" si="4">SUM(G16:G18)</f>
        <v>641.39702899999997</v>
      </c>
      <c r="H19" s="61">
        <f t="shared" si="4"/>
        <v>401.63979299999994</v>
      </c>
      <c r="I19" s="67">
        <f t="shared" si="2"/>
        <v>0.62619528130056235</v>
      </c>
      <c r="J19" s="66">
        <f t="shared" ref="J19:K19" si="5">SUM(J16:J18)</f>
        <v>550.13444500000003</v>
      </c>
      <c r="K19" s="66">
        <f t="shared" si="5"/>
        <v>359.52907700000003</v>
      </c>
      <c r="L19" s="67">
        <f t="shared" si="0"/>
        <v>0.65352947859863608</v>
      </c>
      <c r="N19" s="58">
        <f t="shared" si="3"/>
        <v>-2.7334197298073737</v>
      </c>
      <c r="O19" s="10"/>
    </row>
    <row r="20" spans="2:15" x14ac:dyDescent="0.25">
      <c r="B20" s="7"/>
      <c r="C20" s="2"/>
      <c r="E20" s="105" t="s">
        <v>92</v>
      </c>
      <c r="F20" s="105"/>
      <c r="G20" s="105"/>
      <c r="H20" s="105"/>
      <c r="I20" s="105"/>
      <c r="J20" s="105"/>
      <c r="K20" s="105"/>
      <c r="L20" s="105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07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60.9%, mientras que para los proyectos del tipo social el avance es de64.8%. Cabe resaltar que estos dos tipos de proyectos absorben el 91.0% del presupuesto total en esta región.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"/>
    </row>
    <row r="23" spans="2:15" x14ac:dyDescent="0.25">
      <c r="B23" s="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1" t="s">
        <v>40</v>
      </c>
      <c r="F25" s="121"/>
      <c r="G25" s="121"/>
      <c r="H25" s="121"/>
      <c r="I25" s="121"/>
      <c r="J25" s="121"/>
      <c r="K25" s="121"/>
      <c r="L25" s="121"/>
      <c r="M25" s="2"/>
      <c r="N25" s="2"/>
      <c r="O25" s="10"/>
    </row>
    <row r="26" spans="2:15" x14ac:dyDescent="0.25">
      <c r="B26" s="7"/>
      <c r="C26" s="2"/>
      <c r="D26" s="2"/>
      <c r="E26" s="21"/>
      <c r="F26" s="109" t="s">
        <v>1</v>
      </c>
      <c r="G26" s="109"/>
      <c r="H26" s="109"/>
      <c r="I26" s="109"/>
      <c r="J26" s="109"/>
      <c r="K26" s="109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12" t="s">
        <v>34</v>
      </c>
      <c r="G27" s="112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5" t="str">
        <f>+FIXED(K28*100,1)</f>
        <v>60.9</v>
      </c>
      <c r="F28" s="30" t="s">
        <v>13</v>
      </c>
      <c r="G28" s="31"/>
      <c r="H28" s="83">
        <f>+H77+H126+H175</f>
        <v>243.09583700000002</v>
      </c>
      <c r="I28" s="32">
        <f>+H28/H$32</f>
        <v>0.3790099205464203</v>
      </c>
      <c r="J28" s="60">
        <f t="shared" ref="J28:J31" si="6">+J77+J126+J175</f>
        <v>148.15389000000002</v>
      </c>
      <c r="K28" s="32">
        <f>+J28/H28</f>
        <v>0.60944642996909903</v>
      </c>
      <c r="L28" s="21"/>
      <c r="M28" s="2"/>
      <c r="N28" s="2"/>
      <c r="O28" s="10"/>
    </row>
    <row r="29" spans="2:15" x14ac:dyDescent="0.25">
      <c r="B29" s="7"/>
      <c r="C29" s="2"/>
      <c r="D29" s="2"/>
      <c r="E29" s="95" t="str">
        <f>+FIXED(K29*100,1)</f>
        <v>64.8</v>
      </c>
      <c r="F29" s="30" t="s">
        <v>14</v>
      </c>
      <c r="G29" s="31"/>
      <c r="H29" s="60">
        <f t="shared" ref="H29:H31" si="7">+H78+H127+H176</f>
        <v>340.77241700000002</v>
      </c>
      <c r="I29" s="32">
        <f t="shared" ref="I29:I31" si="8">+H29/H$32</f>
        <v>0.53129715541604117</v>
      </c>
      <c r="J29" s="60">
        <f t="shared" si="6"/>
        <v>220.82962399999997</v>
      </c>
      <c r="K29" s="32">
        <f t="shared" ref="K29:K32" si="9">+J29/H29</f>
        <v>0.64802669753637943</v>
      </c>
      <c r="L29" s="21"/>
      <c r="M29" s="2"/>
      <c r="N29" s="2"/>
      <c r="O29" s="10"/>
    </row>
    <row r="30" spans="2:15" x14ac:dyDescent="0.25">
      <c r="B30" s="7"/>
      <c r="C30" s="2"/>
      <c r="D30" s="2"/>
      <c r="E30" s="95" t="str">
        <f>+FIXED((I28+I29)*100,1)</f>
        <v>91.0</v>
      </c>
      <c r="F30" s="30" t="s">
        <v>25</v>
      </c>
      <c r="G30" s="31"/>
      <c r="H30" s="60">
        <f t="shared" si="7"/>
        <v>16.752037999999999</v>
      </c>
      <c r="I30" s="32">
        <f t="shared" si="8"/>
        <v>2.6118047391204862E-2</v>
      </c>
      <c r="J30" s="60">
        <f t="shared" si="6"/>
        <v>9.2254860000000001</v>
      </c>
      <c r="K30" s="32">
        <f t="shared" si="9"/>
        <v>0.55070827800175715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60">
        <f t="shared" si="7"/>
        <v>40.776736999999997</v>
      </c>
      <c r="I31" s="32">
        <f t="shared" si="8"/>
        <v>6.3574876646333822E-2</v>
      </c>
      <c r="J31" s="60">
        <f t="shared" si="6"/>
        <v>23.430793000000001</v>
      </c>
      <c r="K31" s="32">
        <f t="shared" si="9"/>
        <v>0.57461176945080239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641.39702899999997</v>
      </c>
      <c r="I32" s="43">
        <f>SUM(I28:I31)</f>
        <v>1</v>
      </c>
      <c r="J32" s="42">
        <f>SUM(J28:J31)</f>
        <v>401.639793</v>
      </c>
      <c r="K32" s="43">
        <f t="shared" si="9"/>
        <v>0.62619528130056246</v>
      </c>
      <c r="L32" s="21"/>
      <c r="M32" s="2"/>
      <c r="N32" s="2"/>
      <c r="O32" s="10"/>
    </row>
    <row r="33" spans="2:15" x14ac:dyDescent="0.25">
      <c r="B33" s="7"/>
      <c r="C33" s="2"/>
      <c r="E33" s="21"/>
      <c r="F33" s="105" t="s">
        <v>93</v>
      </c>
      <c r="G33" s="105"/>
      <c r="H33" s="105"/>
      <c r="I33" s="105"/>
      <c r="J33" s="105"/>
      <c r="K33" s="105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07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EDUCACION cuenta con el mayor presupuesto en esta región equivalente a 23.8% del presupuesto total, con un avance de 49.4%.  El sector de TRANSPORTE es el segundo sector con mayor presupuesto equivalente al 18.4% del total y con un avance del 62.7% y el sector SANEAMIENTO con una ejecución del 76.2%. Los 3 sectores concentran el 55.6% del total presupuestado.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"/>
    </row>
    <row r="36" spans="2:15" x14ac:dyDescent="0.25">
      <c r="B36" s="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08" t="s">
        <v>41</v>
      </c>
      <c r="F38" s="108"/>
      <c r="G38" s="108"/>
      <c r="H38" s="108"/>
      <c r="I38" s="108"/>
      <c r="J38" s="108"/>
      <c r="K38" s="108"/>
      <c r="L38" s="108"/>
      <c r="M38" s="2"/>
      <c r="N38" s="2"/>
      <c r="O38" s="10"/>
    </row>
    <row r="39" spans="2:15" x14ac:dyDescent="0.25">
      <c r="B39" s="7"/>
      <c r="C39" s="2"/>
      <c r="D39" s="21"/>
      <c r="E39" s="21"/>
      <c r="F39" s="109" t="s">
        <v>1</v>
      </c>
      <c r="G39" s="109"/>
      <c r="H39" s="109"/>
      <c r="I39" s="109"/>
      <c r="J39" s="109"/>
      <c r="K39" s="109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0" t="s">
        <v>22</v>
      </c>
      <c r="G40" s="111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104</v>
      </c>
      <c r="G41" s="29"/>
      <c r="H41" s="34">
        <v>152.93585999999999</v>
      </c>
      <c r="I41" s="32">
        <f>+H41/H$49</f>
        <v>0.23844179671122237</v>
      </c>
      <c r="J41" s="34">
        <v>75.495903999999996</v>
      </c>
      <c r="K41" s="32">
        <f>+J41/H41</f>
        <v>0.49364422444807909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102</v>
      </c>
      <c r="G42" s="29"/>
      <c r="H42" s="34">
        <v>117.94047499999999</v>
      </c>
      <c r="I42" s="32">
        <f t="shared" ref="I42:I48" si="10">+H42/H$49</f>
        <v>0.18388060696801262</v>
      </c>
      <c r="J42" s="34">
        <v>73.945220000000006</v>
      </c>
      <c r="K42" s="32">
        <f t="shared" ref="K42:K49" si="11">+J42/H42</f>
        <v>0.62697068160866753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110</v>
      </c>
      <c r="G43" s="29"/>
      <c r="H43" s="34">
        <v>86.024193999999994</v>
      </c>
      <c r="I43" s="32">
        <f t="shared" si="10"/>
        <v>0.13412003815190732</v>
      </c>
      <c r="J43" s="34">
        <v>65.561442</v>
      </c>
      <c r="K43" s="32">
        <f t="shared" si="11"/>
        <v>0.76212794275061735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109</v>
      </c>
      <c r="G44" s="29"/>
      <c r="H44" s="34">
        <v>79.314191999999991</v>
      </c>
      <c r="I44" s="32">
        <f t="shared" si="10"/>
        <v>0.12365849608573724</v>
      </c>
      <c r="J44" s="34">
        <v>65.168864999999997</v>
      </c>
      <c r="K44" s="32">
        <f t="shared" si="11"/>
        <v>0.82165452810765571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103</v>
      </c>
      <c r="G45" s="29"/>
      <c r="H45" s="34">
        <v>68.511359999999996</v>
      </c>
      <c r="I45" s="32">
        <f t="shared" si="10"/>
        <v>0.1068158362174141</v>
      </c>
      <c r="J45" s="34">
        <v>48.111418</v>
      </c>
      <c r="K45" s="32">
        <f t="shared" si="11"/>
        <v>0.70224000808041187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111</v>
      </c>
      <c r="G46" s="29"/>
      <c r="H46" s="34">
        <v>40.776736999999997</v>
      </c>
      <c r="I46" s="32">
        <f t="shared" si="10"/>
        <v>6.3574876646333822E-2</v>
      </c>
      <c r="J46" s="34">
        <v>23.430793000000001</v>
      </c>
      <c r="K46" s="32">
        <f t="shared" si="11"/>
        <v>0.57461176945080239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113</v>
      </c>
      <c r="G47" s="29"/>
      <c r="H47" s="34">
        <v>19.986363999999998</v>
      </c>
      <c r="I47" s="32">
        <f t="shared" si="10"/>
        <v>3.1160674428381236E-2</v>
      </c>
      <c r="J47" s="34">
        <v>12.872588</v>
      </c>
      <c r="K47" s="32">
        <f t="shared" si="11"/>
        <v>0.64406852592097297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126</v>
      </c>
      <c r="G48" s="29"/>
      <c r="H48" s="34">
        <v>75.907847000000004</v>
      </c>
      <c r="I48" s="32">
        <f t="shared" si="10"/>
        <v>0.11834767479099129</v>
      </c>
      <c r="J48" s="34">
        <v>37.053563000000004</v>
      </c>
      <c r="K48" s="32">
        <f t="shared" si="11"/>
        <v>0.48813876910512299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641.39702899999997</v>
      </c>
      <c r="I49" s="43">
        <f>SUM(I41:I48)</f>
        <v>1</v>
      </c>
      <c r="J49" s="42">
        <f>SUM(J41:J48)</f>
        <v>401.639793</v>
      </c>
      <c r="K49" s="43">
        <f t="shared" si="11"/>
        <v>0.62619528130056246</v>
      </c>
      <c r="L49" s="21"/>
      <c r="M49" s="2"/>
      <c r="N49" s="2"/>
      <c r="O49" s="10"/>
    </row>
    <row r="50" spans="2:15" x14ac:dyDescent="0.25">
      <c r="B50" s="7"/>
      <c r="C50" s="2"/>
      <c r="E50" s="21"/>
      <c r="F50" s="105" t="s">
        <v>94</v>
      </c>
      <c r="G50" s="105"/>
      <c r="H50" s="105"/>
      <c r="I50" s="105"/>
      <c r="J50" s="105"/>
      <c r="K50" s="105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07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147 proyectos que no cuentan con ningún avance en ejecución del gasto, mientras que 136 (19.4% de proyectos) no superan el 50,0% de ejecución, 362 proyectos (51.6%) tienen un nivel de ejecución mayor al 50,0% pero no culminan y 56 proyectos por S/ 13.6 millones se han ejecutado al 100,0%.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"/>
    </row>
    <row r="53" spans="2:15" x14ac:dyDescent="0.25">
      <c r="B53" s="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08" t="s">
        <v>42</v>
      </c>
      <c r="F55" s="108"/>
      <c r="G55" s="108"/>
      <c r="H55" s="108"/>
      <c r="I55" s="108"/>
      <c r="J55" s="108"/>
      <c r="K55" s="108"/>
      <c r="L55" s="108"/>
      <c r="M55" s="2"/>
      <c r="N55" s="2"/>
      <c r="O55" s="10"/>
    </row>
    <row r="56" spans="2:15" x14ac:dyDescent="0.25">
      <c r="B56" s="7"/>
      <c r="C56" s="2"/>
      <c r="D56" s="2"/>
      <c r="E56" s="21"/>
      <c r="F56" s="109" t="s">
        <v>36</v>
      </c>
      <c r="G56" s="109"/>
      <c r="H56" s="109"/>
      <c r="I56" s="109"/>
      <c r="J56" s="109"/>
      <c r="K56" s="109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18.532640000000004</v>
      </c>
      <c r="I58" s="60">
        <f t="shared" ref="I58:J58" si="12">+I107+I156+I205</f>
        <v>0</v>
      </c>
      <c r="J58" s="63">
        <f t="shared" si="12"/>
        <v>147</v>
      </c>
      <c r="K58" s="32">
        <f>+J58/J$62</f>
        <v>0.20970042796005706</v>
      </c>
      <c r="L58" s="2"/>
      <c r="M58" s="82">
        <f>SUM(J59:J61)</f>
        <v>554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0.29617820273907808</v>
      </c>
      <c r="H59" s="60">
        <f t="shared" ref="H59:J61" si="14">+H108+H157+H206</f>
        <v>179.54471500000005</v>
      </c>
      <c r="I59" s="60">
        <f t="shared" si="14"/>
        <v>53.177231000000006</v>
      </c>
      <c r="J59" s="63">
        <f t="shared" si="14"/>
        <v>136</v>
      </c>
      <c r="K59" s="32">
        <f t="shared" ref="K59:K61" si="15">+J59/J$62</f>
        <v>0.19400855920114124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0.77924137597126597</v>
      </c>
      <c r="H60" s="60">
        <f t="shared" si="14"/>
        <v>429.68699599999997</v>
      </c>
      <c r="I60" s="60">
        <f t="shared" si="14"/>
        <v>334.82988599999982</v>
      </c>
      <c r="J60" s="63">
        <f t="shared" si="14"/>
        <v>362</v>
      </c>
      <c r="K60" s="32">
        <f t="shared" si="15"/>
        <v>0.51640513552068479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si="14"/>
        <v>13.632678</v>
      </c>
      <c r="I61" s="60">
        <f t="shared" si="14"/>
        <v>13.632678</v>
      </c>
      <c r="J61" s="63">
        <f t="shared" si="14"/>
        <v>56</v>
      </c>
      <c r="K61" s="32">
        <f t="shared" si="15"/>
        <v>7.9885877318116971E-2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0.62619528441875549</v>
      </c>
      <c r="H62" s="61">
        <f t="shared" ref="H62:J62" si="16">SUM(H58:H61)</f>
        <v>641.39702900000009</v>
      </c>
      <c r="I62" s="61">
        <f t="shared" si="16"/>
        <v>401.63979499999982</v>
      </c>
      <c r="J62" s="64">
        <f t="shared" si="16"/>
        <v>701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05" t="s">
        <v>95</v>
      </c>
      <c r="G63" s="105"/>
      <c r="H63" s="105"/>
      <c r="I63" s="105"/>
      <c r="J63" s="105"/>
      <c r="K63" s="105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06" t="s">
        <v>19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23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48.2%, equivalente a S/ 39.7 millones de soles.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9"/>
    </row>
    <row r="72" spans="2:15" x14ac:dyDescent="0.25">
      <c r="B72" s="7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1" t="s">
        <v>24</v>
      </c>
      <c r="F74" s="121"/>
      <c r="G74" s="121"/>
      <c r="H74" s="121"/>
      <c r="I74" s="121"/>
      <c r="J74" s="121"/>
      <c r="K74" s="121"/>
      <c r="L74" s="121"/>
      <c r="M74" s="2"/>
      <c r="N74" s="2"/>
      <c r="O74" s="10"/>
    </row>
    <row r="75" spans="2:15" x14ac:dyDescent="0.25">
      <c r="B75" s="7"/>
      <c r="C75" s="2"/>
      <c r="D75" s="2"/>
      <c r="E75" s="21"/>
      <c r="F75" s="109" t="s">
        <v>1</v>
      </c>
      <c r="G75" s="109"/>
      <c r="H75" s="109"/>
      <c r="I75" s="109"/>
      <c r="J75" s="109"/>
      <c r="K75" s="109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12" t="s">
        <v>34</v>
      </c>
      <c r="G76" s="112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31.275471</v>
      </c>
      <c r="I77" s="32">
        <f>+H77/$H$81</f>
        <v>0.37955922496520578</v>
      </c>
      <c r="J77" s="34">
        <v>17.988548000000002</v>
      </c>
      <c r="K77" s="32">
        <f>+J77/H77</f>
        <v>0.57516473532884616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41.935308999999997</v>
      </c>
      <c r="I78" s="32">
        <f>+H78/$H$81</f>
        <v>0.50892705605349364</v>
      </c>
      <c r="J78" s="34">
        <v>15.572051</v>
      </c>
      <c r="K78" s="32">
        <f t="shared" ref="K78:K81" si="17">+J78/H78</f>
        <v>0.3713350723134054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9.0686689999999999</v>
      </c>
      <c r="I79" s="32">
        <f>+H79/$H$81</f>
        <v>0.11005739856342971</v>
      </c>
      <c r="J79" s="34">
        <v>6.1661250000000001</v>
      </c>
      <c r="K79" s="32">
        <f t="shared" si="17"/>
        <v>0.67993715505549934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0.12</v>
      </c>
      <c r="I80" s="32">
        <f>+H80/$H$81</f>
        <v>1.4563204178707552E-3</v>
      </c>
      <c r="J80" s="34">
        <v>0</v>
      </c>
      <c r="K80" s="32">
        <f t="shared" si="17"/>
        <v>0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82.399449000000004</v>
      </c>
      <c r="I81" s="43">
        <f>+H81/$H$81</f>
        <v>1</v>
      </c>
      <c r="J81" s="42">
        <f>SUM(J77:J80)</f>
        <v>39.726724000000004</v>
      </c>
      <c r="K81" s="43">
        <f t="shared" si="17"/>
        <v>0.48212366080263475</v>
      </c>
      <c r="L81" s="21"/>
      <c r="M81" s="2"/>
      <c r="N81" s="2"/>
      <c r="O81" s="10"/>
    </row>
    <row r="82" spans="2:15" x14ac:dyDescent="0.25">
      <c r="B82" s="7"/>
      <c r="C82" s="2"/>
      <c r="E82" s="21"/>
      <c r="F82" s="105" t="s">
        <v>96</v>
      </c>
      <c r="G82" s="105"/>
      <c r="H82" s="105"/>
      <c r="I82" s="105"/>
      <c r="J82" s="105"/>
      <c r="K82" s="105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23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EDUCACION cuenta con el mayor presupuesto del GN en esta región equivalente a 50.9% del presupuesto total, con un avance de 37.1%.  El sector de AGROPECUARIA es el segundo sector con mayor presupuesto equivalente al 17.8% del total y con un avance del 91.3%, en tanto el sector INDUSTRIA tiene una ejecución del 36.6%.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0"/>
    </row>
    <row r="85" spans="2:15" x14ac:dyDescent="0.25">
      <c r="B85" s="7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08" t="s">
        <v>23</v>
      </c>
      <c r="F87" s="108"/>
      <c r="G87" s="108"/>
      <c r="H87" s="108"/>
      <c r="I87" s="108"/>
      <c r="J87" s="108"/>
      <c r="K87" s="108"/>
      <c r="L87" s="108"/>
      <c r="M87" s="2"/>
      <c r="N87" s="2"/>
      <c r="O87" s="10"/>
    </row>
    <row r="88" spans="2:15" x14ac:dyDescent="0.25">
      <c r="B88" s="7"/>
      <c r="C88" s="2"/>
      <c r="D88" s="21"/>
      <c r="E88" s="21"/>
      <c r="F88" s="109" t="s">
        <v>1</v>
      </c>
      <c r="G88" s="109"/>
      <c r="H88" s="109"/>
      <c r="I88" s="109"/>
      <c r="J88" s="109"/>
      <c r="K88" s="109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0" t="s">
        <v>22</v>
      </c>
      <c r="G89" s="111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104</v>
      </c>
      <c r="G90" s="29"/>
      <c r="H90" s="34">
        <v>41.935308999999997</v>
      </c>
      <c r="I90" s="32">
        <f t="shared" ref="I90:I97" si="18">+H90/$H$98</f>
        <v>0.50892705605349364</v>
      </c>
      <c r="J90" s="34">
        <v>15.572051</v>
      </c>
      <c r="K90" s="32">
        <f>+J90/H90</f>
        <v>0.3713350723134054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103</v>
      </c>
      <c r="G91" s="29"/>
      <c r="H91" s="34">
        <v>14.705442</v>
      </c>
      <c r="I91" s="32">
        <f t="shared" si="18"/>
        <v>0.17846529532011796</v>
      </c>
      <c r="J91" s="34">
        <v>13.431908</v>
      </c>
      <c r="K91" s="32">
        <f t="shared" ref="K91:K98" si="19">+J91/H91</f>
        <v>0.91339709476260555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108</v>
      </c>
      <c r="G92" s="29"/>
      <c r="H92" s="34">
        <v>11.839594999999999</v>
      </c>
      <c r="I92" s="32">
        <f t="shared" si="18"/>
        <v>0.14368536614850422</v>
      </c>
      <c r="J92" s="34">
        <v>4.334422</v>
      </c>
      <c r="K92" s="32">
        <f t="shared" si="19"/>
        <v>0.36609546188024172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116</v>
      </c>
      <c r="G93" s="29"/>
      <c r="H93" s="34">
        <v>9.0686689999999999</v>
      </c>
      <c r="I93" s="32">
        <f t="shared" si="18"/>
        <v>0.11005739856342971</v>
      </c>
      <c r="J93" s="34">
        <v>6.1661250000000001</v>
      </c>
      <c r="K93" s="32">
        <f t="shared" si="19"/>
        <v>0.67993715505549934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105</v>
      </c>
      <c r="G94" s="29"/>
      <c r="H94" s="34">
        <v>3.808681</v>
      </c>
      <c r="I94" s="32">
        <f t="shared" si="18"/>
        <v>4.6222165878803387E-2</v>
      </c>
      <c r="J94" s="34">
        <v>7.9963000000000006E-2</v>
      </c>
      <c r="K94" s="32">
        <f t="shared" si="19"/>
        <v>2.0994932366349403E-2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102</v>
      </c>
      <c r="G95" s="29"/>
      <c r="H95" s="34">
        <v>0.87264900000000001</v>
      </c>
      <c r="I95" s="32">
        <f t="shared" si="18"/>
        <v>1.0590471302787473E-2</v>
      </c>
      <c r="J95" s="34">
        <v>9.9151000000000003E-2</v>
      </c>
      <c r="K95" s="32">
        <f t="shared" si="19"/>
        <v>0.11362071119086826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111</v>
      </c>
      <c r="G96" s="29"/>
      <c r="H96" s="34">
        <v>0.12</v>
      </c>
      <c r="I96" s="32">
        <f t="shared" si="18"/>
        <v>1.4563204178707552E-3</v>
      </c>
      <c r="J96" s="34">
        <v>0</v>
      </c>
      <c r="K96" s="32">
        <f t="shared" si="19"/>
        <v>0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4.9104000000000002E-2</v>
      </c>
      <c r="I97" s="32">
        <f t="shared" si="18"/>
        <v>5.9592631499271311E-4</v>
      </c>
      <c r="J97" s="34">
        <v>4.3104000000000003E-2</v>
      </c>
      <c r="K97" s="32">
        <f t="shared" si="19"/>
        <v>0.87781036168132942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82.399449000000004</v>
      </c>
      <c r="I98" s="43">
        <f>SUM(I90:I97)</f>
        <v>0.99999999999999978</v>
      </c>
      <c r="J98" s="42">
        <f>SUM(J90:J97)</f>
        <v>39.726723999999997</v>
      </c>
      <c r="K98" s="43">
        <f t="shared" si="19"/>
        <v>0.48212366080263469</v>
      </c>
      <c r="L98" s="21"/>
      <c r="M98" s="2"/>
      <c r="N98" s="2"/>
      <c r="O98" s="10"/>
    </row>
    <row r="99" spans="2:15" x14ac:dyDescent="0.25">
      <c r="B99" s="7"/>
      <c r="C99" s="2"/>
      <c r="E99" s="21"/>
      <c r="F99" s="105" t="s">
        <v>97</v>
      </c>
      <c r="G99" s="105"/>
      <c r="H99" s="105"/>
      <c r="I99" s="105"/>
      <c r="J99" s="105"/>
      <c r="K99" s="105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23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8 proyectos que no cuentan con ningún avance en ejecución del gasto, mientras que 16 (31.4% de proyectos) no superan el 50,0% de ejecución, 17 proyectos (33.3%) tienen un nivel de ejecución mayor al 50,0% pero no culminan y solo 10 proyectos por S/ 8.4 millones se han ejecutado al 100,0%.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0"/>
    </row>
    <row r="102" spans="2:15" x14ac:dyDescent="0.25">
      <c r="B102" s="7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08" t="s">
        <v>35</v>
      </c>
      <c r="F104" s="108"/>
      <c r="G104" s="108"/>
      <c r="H104" s="108"/>
      <c r="I104" s="108"/>
      <c r="J104" s="108"/>
      <c r="K104" s="108"/>
      <c r="L104" s="108"/>
      <c r="M104" s="2"/>
      <c r="N104" s="2"/>
      <c r="O104" s="10"/>
    </row>
    <row r="105" spans="2:15" x14ac:dyDescent="0.25">
      <c r="B105" s="7"/>
      <c r="C105" s="2"/>
      <c r="D105" s="2"/>
      <c r="E105" s="21"/>
      <c r="F105" s="109" t="s">
        <v>36</v>
      </c>
      <c r="G105" s="109"/>
      <c r="H105" s="109"/>
      <c r="I105" s="109"/>
      <c r="J105" s="109"/>
      <c r="K105" s="109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2.8377859999999999</v>
      </c>
      <c r="I107" s="34">
        <v>0</v>
      </c>
      <c r="J107" s="44">
        <v>8</v>
      </c>
      <c r="K107" s="32">
        <f>+J107/$J$111</f>
        <v>0.15686274509803921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0.21267880436564313</v>
      </c>
      <c r="H108" s="34">
        <v>43.253558000000005</v>
      </c>
      <c r="I108" s="34">
        <v>9.199114999999999</v>
      </c>
      <c r="J108" s="44">
        <v>16</v>
      </c>
      <c r="K108" s="32">
        <f>+J108/$J$111</f>
        <v>0.31372549019607843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0.79280434551726997</v>
      </c>
      <c r="H109" s="34">
        <v>27.898727000000008</v>
      </c>
      <c r="I109" s="34">
        <v>22.118231999999995</v>
      </c>
      <c r="J109" s="44">
        <v>17</v>
      </c>
      <c r="K109" s="32">
        <f>+J109/$J$111</f>
        <v>0.33333333333333331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8.4093780000000002</v>
      </c>
      <c r="I110" s="34">
        <v>8.4093780000000002</v>
      </c>
      <c r="J110" s="44">
        <v>10</v>
      </c>
      <c r="K110" s="32">
        <f>+J110/$J$111</f>
        <v>0.19607843137254902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0.48212367293863806</v>
      </c>
      <c r="H111" s="42">
        <f t="shared" ref="H111:J111" si="21">SUM(H107:H110)</f>
        <v>82.399449000000018</v>
      </c>
      <c r="I111" s="42">
        <f t="shared" si="21"/>
        <v>39.726724999999995</v>
      </c>
      <c r="J111" s="45">
        <f t="shared" si="21"/>
        <v>51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05" t="s">
        <v>98</v>
      </c>
      <c r="G112" s="105"/>
      <c r="H112" s="105"/>
      <c r="I112" s="105"/>
      <c r="J112" s="105"/>
      <c r="K112" s="105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06" t="s">
        <v>32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23" t="str">
        <f>+CONCATENATE("Los proyectos del Gobierno Regional tienen una ejecución del ",FIXED(K130*100,1),"%, equivalente a S/ ",FIXED(J130,1)," millones de soles.")</f>
        <v>Los proyectos del Gobierno Regional tienen una ejecución del 63.3%, equivalente a S/ 146.7 millones de soles.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9"/>
    </row>
    <row r="121" spans="2:15" x14ac:dyDescent="0.25">
      <c r="B121" s="7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1" t="s">
        <v>37</v>
      </c>
      <c r="F123" s="121"/>
      <c r="G123" s="121"/>
      <c r="H123" s="121"/>
      <c r="I123" s="121"/>
      <c r="J123" s="121"/>
      <c r="K123" s="121"/>
      <c r="L123" s="121"/>
      <c r="M123" s="2"/>
      <c r="N123" s="2"/>
      <c r="O123" s="10"/>
    </row>
    <row r="124" spans="2:15" x14ac:dyDescent="0.25">
      <c r="B124" s="7"/>
      <c r="C124" s="2"/>
      <c r="D124" s="2"/>
      <c r="E124" s="21"/>
      <c r="F124" s="109" t="s">
        <v>1</v>
      </c>
      <c r="G124" s="109"/>
      <c r="H124" s="109"/>
      <c r="I124" s="109"/>
      <c r="J124" s="109"/>
      <c r="K124" s="109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12" t="s">
        <v>34</v>
      </c>
      <c r="G125" s="112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64.365873000000008</v>
      </c>
      <c r="I126" s="32">
        <f>+H126/H$130</f>
        <v>0.27755908745967667</v>
      </c>
      <c r="J126" s="34">
        <v>39.865555000000001</v>
      </c>
      <c r="K126" s="32">
        <f>+J126/H126</f>
        <v>0.61935856909763343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141.15519399999999</v>
      </c>
      <c r="I127" s="32">
        <f t="shared" ref="I127:I129" si="22">+H127/H$130</f>
        <v>0.60869067738479399</v>
      </c>
      <c r="J127" s="34">
        <v>94.959880999999996</v>
      </c>
      <c r="K127" s="32">
        <f t="shared" ref="K127:K130" si="23">+J127/H127</f>
        <v>0.67273387757874503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3.1928230000000002</v>
      </c>
      <c r="I128" s="32">
        <f t="shared" si="22"/>
        <v>1.37681196105313E-2</v>
      </c>
      <c r="J128" s="34">
        <v>0.214058</v>
      </c>
      <c r="K128" s="32">
        <f t="shared" si="23"/>
        <v>6.7043490979612708E-2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23.185824</v>
      </c>
      <c r="I129" s="32">
        <f t="shared" si="22"/>
        <v>9.9982115544998029E-2</v>
      </c>
      <c r="J129" s="34">
        <v>11.701392</v>
      </c>
      <c r="K129" s="32">
        <f t="shared" si="23"/>
        <v>0.50467872092878818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231.89971400000002</v>
      </c>
      <c r="I130" s="43">
        <f>SUM(I126:I129)</f>
        <v>1</v>
      </c>
      <c r="J130" s="42">
        <f>SUM(J126:J129)</f>
        <v>146.74088599999999</v>
      </c>
      <c r="K130" s="43">
        <f t="shared" si="23"/>
        <v>0.63277734788409434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05" t="s">
        <v>99</v>
      </c>
      <c r="G131" s="105"/>
      <c r="H131" s="105"/>
      <c r="I131" s="105"/>
      <c r="J131" s="105"/>
      <c r="K131" s="105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23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Educación cuenta con el mayor presupuesto del GR en esta región equivalente a 31.8% del presupuesto total, con un avance de 53.8%.  El sector de Trasnporte es el segundo sector con mayor presupuesto equivalente al 27.5% del total y con un avance del 83.5%, en tanto el sector Salud tiene una ejecución del 60.1%.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0"/>
    </row>
    <row r="134" spans="2:15" x14ac:dyDescent="0.25">
      <c r="B134" s="7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08" t="s">
        <v>23</v>
      </c>
      <c r="F136" s="108"/>
      <c r="G136" s="108"/>
      <c r="H136" s="108"/>
      <c r="I136" s="108"/>
      <c r="J136" s="108"/>
      <c r="K136" s="108"/>
      <c r="L136" s="108"/>
      <c r="M136" s="2"/>
      <c r="N136" s="2"/>
      <c r="O136" s="10"/>
    </row>
    <row r="137" spans="2:15" x14ac:dyDescent="0.25">
      <c r="B137" s="7"/>
      <c r="C137" s="2"/>
      <c r="D137" s="21"/>
      <c r="E137" s="21"/>
      <c r="F137" s="109" t="s">
        <v>1</v>
      </c>
      <c r="G137" s="109"/>
      <c r="H137" s="109"/>
      <c r="I137" s="109"/>
      <c r="J137" s="109"/>
      <c r="K137" s="109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12" t="s">
        <v>22</v>
      </c>
      <c r="G138" s="112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65</v>
      </c>
      <c r="G139" s="29"/>
      <c r="H139" s="34">
        <v>73.713500999999994</v>
      </c>
      <c r="I139" s="32">
        <f>+H139/H$147</f>
        <v>0.31786801168715539</v>
      </c>
      <c r="J139" s="34">
        <v>39.641972000000003</v>
      </c>
      <c r="K139" s="32">
        <f>+J139/H139</f>
        <v>0.53778441482517569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68</v>
      </c>
      <c r="G140" s="29"/>
      <c r="H140" s="34">
        <v>63.674532999999997</v>
      </c>
      <c r="I140" s="32">
        <f t="shared" ref="I140:I146" si="24">+H140/H$147</f>
        <v>0.27457788499040575</v>
      </c>
      <c r="J140" s="34">
        <v>53.164062999999999</v>
      </c>
      <c r="K140" s="32">
        <f t="shared" ref="K140:K147" si="25">+J140/H140</f>
        <v>0.83493447843582935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63</v>
      </c>
      <c r="G141" s="29"/>
      <c r="H141" s="34">
        <v>33.165165000000002</v>
      </c>
      <c r="I141" s="32">
        <f t="shared" si="24"/>
        <v>0.14301511816439755</v>
      </c>
      <c r="J141" s="34">
        <v>19.917469000000001</v>
      </c>
      <c r="K141" s="32">
        <f t="shared" si="25"/>
        <v>0.60055389442506923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64</v>
      </c>
      <c r="G142" s="29"/>
      <c r="H142" s="34">
        <v>25.197303999999999</v>
      </c>
      <c r="I142" s="32">
        <f t="shared" si="24"/>
        <v>0.10865603741106812</v>
      </c>
      <c r="J142" s="34">
        <v>16.215297</v>
      </c>
      <c r="K142" s="32">
        <f t="shared" si="25"/>
        <v>0.64353301448440681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67</v>
      </c>
      <c r="G143" s="29"/>
      <c r="H143" s="34">
        <v>23.185824</v>
      </c>
      <c r="I143" s="32">
        <f t="shared" si="24"/>
        <v>9.9982115544998029E-2</v>
      </c>
      <c r="J143" s="34">
        <v>11.701392</v>
      </c>
      <c r="K143" s="32">
        <f>+J143/H143</f>
        <v>0.50467872092878818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69</v>
      </c>
      <c r="G144" s="29"/>
      <c r="H144" s="34">
        <v>3.5893229999999998</v>
      </c>
      <c r="I144" s="32">
        <f t="shared" si="24"/>
        <v>1.5477910421226305E-2</v>
      </c>
      <c r="J144" s="34">
        <v>2.0978979999999998</v>
      </c>
      <c r="K144" s="32">
        <f t="shared" si="25"/>
        <v>0.58448292338137298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66</v>
      </c>
      <c r="G145" s="29"/>
      <c r="H145" s="34">
        <v>3.1928230000000002</v>
      </c>
      <c r="I145" s="32">
        <f t="shared" si="24"/>
        <v>1.37681196105313E-2</v>
      </c>
      <c r="J145" s="34">
        <v>0.214058</v>
      </c>
      <c r="K145" s="32">
        <f t="shared" si="25"/>
        <v>6.7043490979612708E-2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6.181241</v>
      </c>
      <c r="I146" s="32">
        <f t="shared" si="24"/>
        <v>2.6654802170217422E-2</v>
      </c>
      <c r="J146" s="34">
        <v>3.7887370000000002</v>
      </c>
      <c r="K146" s="32">
        <f t="shared" si="25"/>
        <v>0.61294115534404825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231.89971400000002</v>
      </c>
      <c r="I147" s="43">
        <f>SUM(I139:I146)</f>
        <v>0.99999999999999978</v>
      </c>
      <c r="J147" s="42">
        <f>SUM(J139:J146)</f>
        <v>146.74088599999999</v>
      </c>
      <c r="K147" s="43">
        <f t="shared" si="25"/>
        <v>0.63277734788409434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05" t="s">
        <v>96</v>
      </c>
      <c r="G148" s="105"/>
      <c r="H148" s="105"/>
      <c r="I148" s="105"/>
      <c r="J148" s="105"/>
      <c r="K148" s="105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23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22 proyectos que no cuentan con ningún avance en ejecución del gasto, mientras que 24 (21.1% de proyectos) no superan el 50,0% de ejecución, 60 proyectos (52.6%) tienen un nivel de ejecución mayor al 50,0% pero no culminan y solo 8 proyectos por S/ 0.4 millones se han ejecutado al 100,0%.</v>
      </c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0"/>
    </row>
    <row r="151" spans="2:15" x14ac:dyDescent="0.25">
      <c r="B151" s="7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08" t="s">
        <v>35</v>
      </c>
      <c r="F153" s="108"/>
      <c r="G153" s="108"/>
      <c r="H153" s="108"/>
      <c r="I153" s="108"/>
      <c r="J153" s="108"/>
      <c r="K153" s="108"/>
      <c r="L153" s="108"/>
      <c r="M153" s="2"/>
      <c r="N153" s="2"/>
      <c r="O153" s="10"/>
    </row>
    <row r="154" spans="2:15" x14ac:dyDescent="0.25">
      <c r="B154" s="7"/>
      <c r="C154" s="2"/>
      <c r="D154" s="2"/>
      <c r="E154" s="21"/>
      <c r="F154" s="109" t="s">
        <v>36</v>
      </c>
      <c r="G154" s="109"/>
      <c r="H154" s="109"/>
      <c r="I154" s="109"/>
      <c r="J154" s="109"/>
      <c r="K154" s="109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1.6218199999999998</v>
      </c>
      <c r="I156" s="34">
        <v>0</v>
      </c>
      <c r="J156" s="44">
        <v>22</v>
      </c>
      <c r="K156" s="32">
        <f>+J156/J$160</f>
        <v>0.19298245614035087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0.30553132411670464</v>
      </c>
      <c r="H157" s="34">
        <v>51.153701000000012</v>
      </c>
      <c r="I157" s="34">
        <v>15.629058000000002</v>
      </c>
      <c r="J157" s="44">
        <v>24</v>
      </c>
      <c r="K157" s="32">
        <f t="shared" ref="K157:K159" si="27">+J157/J$160</f>
        <v>0.21052631578947367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0.73139965116457761</v>
      </c>
      <c r="H158" s="34">
        <v>178.75019600000005</v>
      </c>
      <c r="I158" s="34">
        <v>130.73783099999991</v>
      </c>
      <c r="J158" s="44">
        <v>60</v>
      </c>
      <c r="K158" s="32">
        <f t="shared" si="27"/>
        <v>0.52631578947368418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0.37399700000000002</v>
      </c>
      <c r="I159" s="34">
        <v>0.37399700000000002</v>
      </c>
      <c r="J159" s="44">
        <v>8</v>
      </c>
      <c r="K159" s="32">
        <f t="shared" si="27"/>
        <v>7.0175438596491224E-2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0.63277734788409401</v>
      </c>
      <c r="H160" s="42">
        <f t="shared" ref="H160:J160" si="28">SUM(H156:H159)</f>
        <v>231.89971400000005</v>
      </c>
      <c r="I160" s="42">
        <f t="shared" si="28"/>
        <v>146.74088599999993</v>
      </c>
      <c r="J160" s="45">
        <f t="shared" si="28"/>
        <v>114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05" t="s">
        <v>93</v>
      </c>
      <c r="G161" s="105"/>
      <c r="H161" s="105"/>
      <c r="I161" s="105"/>
      <c r="J161" s="105"/>
      <c r="K161" s="105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06" t="s">
        <v>33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23" t="str">
        <f>+CONCATENATE("Los proyectos de los Gobierno Locales tienen una ejecución del ",FIXED(K179*100,1),"%, equivalente a S/ ",FIXED(J179,1)," millones de soles.")</f>
        <v>Los proyectos de los Gobierno Locales tienen una ejecución del 65.8%, equivalente a S/ 215.2 millones de soles.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9"/>
    </row>
    <row r="170" spans="2:15" x14ac:dyDescent="0.25">
      <c r="B170" s="7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1" t="s">
        <v>38</v>
      </c>
      <c r="F172" s="121"/>
      <c r="G172" s="121"/>
      <c r="H172" s="121"/>
      <c r="I172" s="121"/>
      <c r="J172" s="121"/>
      <c r="K172" s="121"/>
      <c r="L172" s="121"/>
      <c r="M172" s="2"/>
      <c r="N172" s="2"/>
      <c r="O172" s="10"/>
    </row>
    <row r="173" spans="2:15" x14ac:dyDescent="0.25">
      <c r="B173" s="7"/>
      <c r="C173" s="2"/>
      <c r="D173" s="2"/>
      <c r="E173" s="21"/>
      <c r="F173" s="109" t="s">
        <v>1</v>
      </c>
      <c r="G173" s="109"/>
      <c r="H173" s="109"/>
      <c r="I173" s="109"/>
      <c r="J173" s="109"/>
      <c r="K173" s="109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12" t="s">
        <v>34</v>
      </c>
      <c r="G174" s="112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147.45449300000001</v>
      </c>
      <c r="I175" s="32">
        <f>+H175/H$179</f>
        <v>0.45079625496547876</v>
      </c>
      <c r="J175" s="34">
        <v>90.299787000000009</v>
      </c>
      <c r="K175" s="32">
        <f>+J175/H175</f>
        <v>0.61239088184311885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157.68191400000001</v>
      </c>
      <c r="I176" s="32">
        <f t="shared" ref="I176:I178" si="29">+H176/H$179</f>
        <v>0.48206341401200092</v>
      </c>
      <c r="J176" s="34">
        <v>110.29769199999998</v>
      </c>
      <c r="K176" s="32">
        <f t="shared" ref="K176:K179" si="30">+J176/H176</f>
        <v>0.69949488309737273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4.4905460000000001</v>
      </c>
      <c r="I177" s="32">
        <f t="shared" si="29"/>
        <v>1.3728447864591082E-2</v>
      </c>
      <c r="J177" s="34">
        <v>2.8453029999999999</v>
      </c>
      <c r="K177" s="32">
        <f t="shared" si="30"/>
        <v>0.63362072229078603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17.470912999999999</v>
      </c>
      <c r="I178" s="32">
        <f t="shared" si="29"/>
        <v>5.3411883157929253E-2</v>
      </c>
      <c r="J178" s="34">
        <v>11.729400999999999</v>
      </c>
      <c r="K178" s="32">
        <f t="shared" si="30"/>
        <v>0.67136737501926769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42">
        <f>SUM(H175:H178)</f>
        <v>327.09786600000001</v>
      </c>
      <c r="I179" s="43">
        <f>SUM(I175:I178)</f>
        <v>1</v>
      </c>
      <c r="J179" s="42">
        <f>SUM(J175:J178)</f>
        <v>215.17218299999999</v>
      </c>
      <c r="K179" s="43">
        <f t="shared" si="30"/>
        <v>0.65782203238219839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05" t="s">
        <v>100</v>
      </c>
      <c r="G180" s="105"/>
      <c r="H180" s="105"/>
      <c r="I180" s="105"/>
      <c r="J180" s="105"/>
      <c r="K180" s="105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23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TRANSPORTE cuenta con el mayor presupuesto de los GL en consjunto en esta región equivalente a 25.7% del presupuesto total, con un avance de 64.3%.  El sector de SANEAMIENTO es el segundo sector con mayor presupuesto equivalente al 25.2% del total y con un avance del 77.0%, en tanto el sector EDUCACION tiene una ejecución del 54.4%.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0"/>
    </row>
    <row r="183" spans="2:15" x14ac:dyDescent="0.25">
      <c r="B183" s="7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08" t="s">
        <v>23</v>
      </c>
      <c r="F185" s="108"/>
      <c r="G185" s="108"/>
      <c r="H185" s="108"/>
      <c r="I185" s="108"/>
      <c r="J185" s="108"/>
      <c r="K185" s="108"/>
      <c r="L185" s="108"/>
      <c r="M185" s="2"/>
      <c r="N185" s="2"/>
      <c r="O185" s="10"/>
    </row>
    <row r="186" spans="2:15" x14ac:dyDescent="0.25">
      <c r="B186" s="7"/>
      <c r="C186" s="2"/>
      <c r="D186" s="21"/>
      <c r="E186" s="21"/>
      <c r="F186" s="109" t="s">
        <v>1</v>
      </c>
      <c r="G186" s="109"/>
      <c r="H186" s="109"/>
      <c r="I186" s="109"/>
      <c r="J186" s="109"/>
      <c r="K186" s="109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12" t="s">
        <v>22</v>
      </c>
      <c r="G187" s="112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102</v>
      </c>
      <c r="G188" s="29"/>
      <c r="H188" s="34">
        <v>83.902660999999995</v>
      </c>
      <c r="I188" s="32">
        <f>+H188/H$196</f>
        <v>0.25650629282919257</v>
      </c>
      <c r="J188" s="34">
        <v>53.928600000000003</v>
      </c>
      <c r="K188" s="32">
        <f>+J188/H188</f>
        <v>0.6427519623006952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110</v>
      </c>
      <c r="G189" s="29"/>
      <c r="H189" s="34">
        <v>82.434871000000001</v>
      </c>
      <c r="I189" s="32">
        <f t="shared" ref="I189:I195" si="31">+H189/H$196</f>
        <v>0.2520189813772738</v>
      </c>
      <c r="J189" s="34">
        <v>63.463543999999999</v>
      </c>
      <c r="K189" s="32">
        <f t="shared" ref="K189:K191" si="32">+J189/H189</f>
        <v>0.76986284117555059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104</v>
      </c>
      <c r="G190" s="29"/>
      <c r="H190" s="34">
        <v>37.287050000000001</v>
      </c>
      <c r="I190" s="32">
        <f t="shared" si="31"/>
        <v>0.11399355934654737</v>
      </c>
      <c r="J190" s="34">
        <v>20.281880999999998</v>
      </c>
      <c r="K190" s="32">
        <f t="shared" si="32"/>
        <v>0.54393900831521935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103</v>
      </c>
      <c r="G191" s="29"/>
      <c r="H191" s="34">
        <v>28.608613999999999</v>
      </c>
      <c r="I191" s="32">
        <f t="shared" si="31"/>
        <v>8.7461940213330522E-2</v>
      </c>
      <c r="J191" s="34">
        <v>18.464213000000001</v>
      </c>
      <c r="K191" s="32">
        <f t="shared" si="32"/>
        <v>0.64540746364014701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113</v>
      </c>
      <c r="G192" s="29"/>
      <c r="H192" s="34">
        <v>19.986363999999998</v>
      </c>
      <c r="I192" s="32">
        <f t="shared" si="31"/>
        <v>6.1102092301635491E-2</v>
      </c>
      <c r="J192" s="34">
        <v>12.872588</v>
      </c>
      <c r="K192" s="32">
        <f>+J192/H192</f>
        <v>0.64406852592097297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111</v>
      </c>
      <c r="G193" s="29"/>
      <c r="H193" s="34">
        <v>17.470912999999999</v>
      </c>
      <c r="I193" s="32">
        <f t="shared" si="31"/>
        <v>5.3411883157929253E-2</v>
      </c>
      <c r="J193" s="34">
        <v>11.729400999999999</v>
      </c>
      <c r="K193" s="32">
        <f t="shared" ref="K193:K196" si="33">+J193/H193</f>
        <v>0.67136737501926769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109</v>
      </c>
      <c r="G194" s="29"/>
      <c r="H194" s="34">
        <v>15.639659</v>
      </c>
      <c r="I194" s="32">
        <f t="shared" si="31"/>
        <v>4.7813393560935058E-2</v>
      </c>
      <c r="J194" s="34">
        <v>12.004802</v>
      </c>
      <c r="K194" s="32">
        <f t="shared" si="33"/>
        <v>0.76758719611469783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41.767733999999997</v>
      </c>
      <c r="I195" s="32">
        <f t="shared" si="31"/>
        <v>0.12769185721315587</v>
      </c>
      <c r="J195" s="34">
        <v>22.427153999999998</v>
      </c>
      <c r="K195" s="32">
        <f t="shared" si="33"/>
        <v>0.53694926327580994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42">
        <f>SUM(H188:H195)</f>
        <v>327.09786600000001</v>
      </c>
      <c r="I196" s="43">
        <f>SUM(I188:I195)</f>
        <v>0.99999999999999978</v>
      </c>
      <c r="J196" s="42">
        <f>SUM(J188:J195)</f>
        <v>215.17218300000002</v>
      </c>
      <c r="K196" s="43">
        <f t="shared" si="33"/>
        <v>0.6578220323821985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05" t="s">
        <v>101</v>
      </c>
      <c r="G197" s="105"/>
      <c r="H197" s="105"/>
      <c r="I197" s="105"/>
      <c r="J197" s="105"/>
      <c r="K197" s="105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23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117 proyectos que no cuentan con ningún avance en ejecución del gasto, mientras que 96 (17.9% de proyectos) no superan el 50,0% de ejecución, 285 proyectos (53.2%) tienen un nivel de ejecución mayor al 50,0% pero no culminan y solo 38 proyectos por S/ 4.8 millones se han ejecutado al 100,0%.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0"/>
    </row>
    <row r="200" spans="2:15" x14ac:dyDescent="0.25">
      <c r="B200" s="7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08" t="s">
        <v>35</v>
      </c>
      <c r="F202" s="108"/>
      <c r="G202" s="108"/>
      <c r="H202" s="108"/>
      <c r="I202" s="108"/>
      <c r="J202" s="108"/>
      <c r="K202" s="108"/>
      <c r="L202" s="108"/>
      <c r="M202" s="2"/>
      <c r="N202" s="2"/>
      <c r="O202" s="10"/>
    </row>
    <row r="203" spans="2:15" x14ac:dyDescent="0.25">
      <c r="B203" s="7"/>
      <c r="C203" s="2"/>
      <c r="D203" s="2"/>
      <c r="E203" s="21"/>
      <c r="F203" s="109" t="s">
        <v>36</v>
      </c>
      <c r="G203" s="109"/>
      <c r="H203" s="109"/>
      <c r="I203" s="109"/>
      <c r="J203" s="109"/>
      <c r="K203" s="109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14.073034000000003</v>
      </c>
      <c r="I205" s="34">
        <v>0</v>
      </c>
      <c r="J205" s="44">
        <v>117</v>
      </c>
      <c r="K205" s="32">
        <f>+J205/J$209</f>
        <v>0.21828358208955223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0.33297985789004542</v>
      </c>
      <c r="H206" s="34">
        <v>85.137456000000029</v>
      </c>
      <c r="I206" s="34">
        <v>28.349058000000003</v>
      </c>
      <c r="J206" s="44">
        <v>96</v>
      </c>
      <c r="K206" s="32">
        <f t="shared" ref="K206:K208" si="35">+J206/J$209</f>
        <v>0.17910447761194029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0.81588681498337712</v>
      </c>
      <c r="H207" s="34">
        <v>223.03807299999991</v>
      </c>
      <c r="I207" s="34">
        <v>181.9738229999999</v>
      </c>
      <c r="J207" s="44">
        <v>285</v>
      </c>
      <c r="K207" s="32">
        <f t="shared" si="35"/>
        <v>0.53171641791044777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</v>
      </c>
      <c r="H208" s="34">
        <v>4.8493030000000008</v>
      </c>
      <c r="I208" s="34">
        <v>4.8493030000000008</v>
      </c>
      <c r="J208" s="44">
        <v>38</v>
      </c>
      <c r="K208" s="32">
        <f t="shared" si="35"/>
        <v>7.0895522388059698E-2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0.65782203543938722</v>
      </c>
      <c r="H209" s="42">
        <f t="shared" ref="H209:J209" si="36">SUM(H205:H208)</f>
        <v>327.09786599999995</v>
      </c>
      <c r="I209" s="42">
        <f t="shared" si="36"/>
        <v>215.1721839999999</v>
      </c>
      <c r="J209" s="45">
        <f t="shared" si="36"/>
        <v>536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05" t="s">
        <v>97</v>
      </c>
      <c r="G210" s="105"/>
      <c r="H210" s="105"/>
      <c r="I210" s="105"/>
      <c r="J210" s="105"/>
      <c r="K210" s="105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F148:K148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C84:N85"/>
    <mergeCell ref="E87:L87"/>
    <mergeCell ref="F88:K88"/>
    <mergeCell ref="F89:G89"/>
    <mergeCell ref="C120:N121"/>
    <mergeCell ref="C71:N72"/>
    <mergeCell ref="E74:L74"/>
    <mergeCell ref="F75:K75"/>
    <mergeCell ref="F76:G76"/>
    <mergeCell ref="F82:K82"/>
    <mergeCell ref="F40:G40"/>
    <mergeCell ref="C35:N36"/>
    <mergeCell ref="F56:K56"/>
    <mergeCell ref="F63:K63"/>
    <mergeCell ref="C69:N69"/>
    <mergeCell ref="B1:O2"/>
    <mergeCell ref="C7:N7"/>
    <mergeCell ref="C9:N10"/>
    <mergeCell ref="E14:F15"/>
    <mergeCell ref="G14:I14"/>
    <mergeCell ref="J14:L14"/>
    <mergeCell ref="E12:L12"/>
    <mergeCell ref="E13:L13"/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</mergeCells>
  <conditionalFormatting sqref="I81">
    <cfRule type="cellIs" dxfId="5" priority="2" operator="equal">
      <formula>0</formula>
    </cfRule>
  </conditionalFormatting>
  <conditionalFormatting sqref="I101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zoomScaleNormal="100" workbookViewId="0"/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24" t="s">
        <v>122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15" customHeight="1" x14ac:dyDescent="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06" t="s">
        <v>39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8"/>
    </row>
    <row r="8" spans="2:15" x14ac:dyDescent="0.25">
      <c r="B8" s="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"/>
    </row>
    <row r="9" spans="2:15" ht="15" customHeight="1" x14ac:dyDescent="0.25">
      <c r="B9" s="7"/>
      <c r="C9" s="107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1,251.8 millones, lo que equivale a un avance en la ejecución del presupuesto del 57.1%. Por niveles de gobierno, el Gobierno Nacional viene ejecutando el 63.8%  del presupuesto para esta región, el Gobierno Regional un 52.4%  y de los gobiernos locales en conjunto que tienen una ejecución del 52.0%.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9"/>
    </row>
    <row r="10" spans="2:15" x14ac:dyDescent="0.25">
      <c r="B10" s="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14" t="s">
        <v>43</v>
      </c>
      <c r="F12" s="115"/>
      <c r="G12" s="115"/>
      <c r="H12" s="115"/>
      <c r="I12" s="115"/>
      <c r="J12" s="115"/>
      <c r="K12" s="115"/>
      <c r="L12" s="115"/>
      <c r="M12" s="28"/>
      <c r="N12" s="28"/>
      <c r="O12" s="9"/>
    </row>
    <row r="13" spans="2:15" x14ac:dyDescent="0.25">
      <c r="B13" s="7"/>
      <c r="C13" s="28"/>
      <c r="E13" s="116" t="s">
        <v>12</v>
      </c>
      <c r="F13" s="116"/>
      <c r="G13" s="116"/>
      <c r="H13" s="116"/>
      <c r="I13" s="116"/>
      <c r="J13" s="116"/>
      <c r="K13" s="116"/>
      <c r="L13" s="116"/>
      <c r="M13" s="28"/>
      <c r="N13" s="28"/>
      <c r="O13" s="9"/>
    </row>
    <row r="14" spans="2:15" x14ac:dyDescent="0.25">
      <c r="B14" s="7"/>
      <c r="C14" s="2"/>
      <c r="E14" s="117" t="s">
        <v>11</v>
      </c>
      <c r="F14" s="118"/>
      <c r="G14" s="122">
        <v>2016</v>
      </c>
      <c r="H14" s="122"/>
      <c r="I14" s="122"/>
      <c r="J14" s="122">
        <v>2015</v>
      </c>
      <c r="K14" s="122"/>
      <c r="L14" s="122"/>
      <c r="M14" s="2"/>
      <c r="N14" s="2"/>
      <c r="O14" s="10"/>
    </row>
    <row r="15" spans="2:15" x14ac:dyDescent="0.25">
      <c r="B15" s="7"/>
      <c r="C15" s="2"/>
      <c r="E15" s="119"/>
      <c r="F15" s="120"/>
      <c r="G15" s="88" t="s">
        <v>6</v>
      </c>
      <c r="H15" s="88" t="s">
        <v>7</v>
      </c>
      <c r="I15" s="88" t="s">
        <v>8</v>
      </c>
      <c r="J15" s="88" t="s">
        <v>6</v>
      </c>
      <c r="K15" s="88" t="s">
        <v>7</v>
      </c>
      <c r="L15" s="88" t="s">
        <v>8</v>
      </c>
      <c r="M15" s="2"/>
      <c r="N15" s="88" t="s">
        <v>61</v>
      </c>
      <c r="O15" s="10"/>
    </row>
    <row r="16" spans="2:15" x14ac:dyDescent="0.25">
      <c r="B16" s="7"/>
      <c r="C16" s="16"/>
      <c r="D16" s="95" t="str">
        <f>+FIXED(I16*100,1)</f>
        <v>63.8</v>
      </c>
      <c r="E16" s="62" t="s">
        <v>9</v>
      </c>
      <c r="F16" s="31"/>
      <c r="G16" s="56">
        <f>+H81</f>
        <v>937.20880800000009</v>
      </c>
      <c r="H16" s="56">
        <f>+J81</f>
        <v>598.0402499999999</v>
      </c>
      <c r="I16" s="57">
        <f>+H16/G16</f>
        <v>0.63810779934539397</v>
      </c>
      <c r="J16" s="58">
        <v>651.26323200000002</v>
      </c>
      <c r="K16" s="58">
        <v>558.39199900000006</v>
      </c>
      <c r="L16" s="59">
        <f t="shared" ref="L16:L19" si="0">+K16/J16</f>
        <v>0.85739831693738244</v>
      </c>
      <c r="N16" s="58">
        <f>+(I16-L16)*100</f>
        <v>-21.929051759198849</v>
      </c>
      <c r="O16" s="10"/>
    </row>
    <row r="17" spans="2:15" x14ac:dyDescent="0.25">
      <c r="B17" s="7"/>
      <c r="C17" s="16"/>
      <c r="D17" s="95" t="str">
        <f t="shared" ref="D17:D19" si="1">+FIXED(I17*100,1)</f>
        <v>52.4</v>
      </c>
      <c r="E17" s="62" t="s">
        <v>10</v>
      </c>
      <c r="F17" s="31"/>
      <c r="G17" s="56">
        <f>+H130</f>
        <v>226.07280399999999</v>
      </c>
      <c r="H17" s="56">
        <f>+J130</f>
        <v>118.56784</v>
      </c>
      <c r="I17" s="57">
        <f t="shared" ref="I17:I19" si="2">+H17/G17</f>
        <v>0.52446750737872927</v>
      </c>
      <c r="J17" s="58">
        <v>233.05372800000001</v>
      </c>
      <c r="K17" s="58">
        <v>179.94335799999999</v>
      </c>
      <c r="L17" s="59">
        <f t="shared" si="0"/>
        <v>0.77211104728605751</v>
      </c>
      <c r="N17" s="58">
        <f t="shared" ref="N17:N19" si="3">+(I17-L17)*100</f>
        <v>-24.764353990732822</v>
      </c>
      <c r="O17" s="10"/>
    </row>
    <row r="18" spans="2:15" x14ac:dyDescent="0.25">
      <c r="B18" s="7"/>
      <c r="C18" s="16"/>
      <c r="D18" s="95" t="str">
        <f t="shared" si="1"/>
        <v>52.0</v>
      </c>
      <c r="E18" s="62" t="s">
        <v>5</v>
      </c>
      <c r="F18" s="31"/>
      <c r="G18" s="56">
        <f>+H179</f>
        <v>1028.6484790000002</v>
      </c>
      <c r="H18" s="56">
        <f>+J179</f>
        <v>535.19266700000003</v>
      </c>
      <c r="I18" s="57">
        <f t="shared" si="2"/>
        <v>0.52028722923917325</v>
      </c>
      <c r="J18" s="58">
        <v>989.33662100000004</v>
      </c>
      <c r="K18" s="58">
        <v>559.14302199999997</v>
      </c>
      <c r="L18" s="59">
        <f t="shared" si="0"/>
        <v>0.5651696400713746</v>
      </c>
      <c r="N18" s="58">
        <f t="shared" si="3"/>
        <v>-4.4882410832201352</v>
      </c>
      <c r="O18" s="10"/>
    </row>
    <row r="19" spans="2:15" x14ac:dyDescent="0.25">
      <c r="B19" s="7"/>
      <c r="C19" s="95" t="str">
        <f>+FIXED(H19,1)</f>
        <v>1,251.8</v>
      </c>
      <c r="D19" s="95" t="str">
        <f t="shared" si="1"/>
        <v>57.1</v>
      </c>
      <c r="E19" s="65" t="s">
        <v>0</v>
      </c>
      <c r="F19" s="41"/>
      <c r="G19" s="66">
        <f t="shared" ref="G19:H19" si="4">SUM(G16:G18)</f>
        <v>2191.9300910000002</v>
      </c>
      <c r="H19" s="61">
        <f t="shared" si="4"/>
        <v>1251.800757</v>
      </c>
      <c r="I19" s="67">
        <f t="shared" si="2"/>
        <v>0.5710952015029388</v>
      </c>
      <c r="J19" s="66">
        <f t="shared" ref="J19:K19" si="5">SUM(J16:J18)</f>
        <v>1873.653581</v>
      </c>
      <c r="K19" s="66">
        <f t="shared" si="5"/>
        <v>1297.4783790000001</v>
      </c>
      <c r="L19" s="67">
        <f t="shared" si="0"/>
        <v>0.69248573597447738</v>
      </c>
      <c r="N19" s="58">
        <f t="shared" si="3"/>
        <v>-12.139053447153858</v>
      </c>
      <c r="O19" s="10"/>
    </row>
    <row r="20" spans="2:15" x14ac:dyDescent="0.25">
      <c r="B20" s="7"/>
      <c r="C20" s="2"/>
      <c r="E20" s="105" t="s">
        <v>92</v>
      </c>
      <c r="F20" s="105"/>
      <c r="G20" s="105"/>
      <c r="H20" s="105"/>
      <c r="I20" s="105"/>
      <c r="J20" s="105"/>
      <c r="K20" s="105"/>
      <c r="L20" s="105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07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64.0%, mientras que para los proyectos del tipo social el avance es de47.3%. Cabe resaltar que estos dos tipos de proyectos absorben el 91.3% del presupuesto total en esta región.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"/>
    </row>
    <row r="23" spans="2:15" x14ac:dyDescent="0.25">
      <c r="B23" s="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1" t="s">
        <v>40</v>
      </c>
      <c r="F25" s="121"/>
      <c r="G25" s="121"/>
      <c r="H25" s="121"/>
      <c r="I25" s="121"/>
      <c r="J25" s="121"/>
      <c r="K25" s="121"/>
      <c r="L25" s="121"/>
      <c r="M25" s="2"/>
      <c r="N25" s="2"/>
      <c r="O25" s="10"/>
    </row>
    <row r="26" spans="2:15" x14ac:dyDescent="0.25">
      <c r="B26" s="7"/>
      <c r="C26" s="2"/>
      <c r="D26" s="2"/>
      <c r="E26" s="21"/>
      <c r="F26" s="109" t="s">
        <v>1</v>
      </c>
      <c r="G26" s="109"/>
      <c r="H26" s="109"/>
      <c r="I26" s="109"/>
      <c r="J26" s="109"/>
      <c r="K26" s="109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12" t="s">
        <v>34</v>
      </c>
      <c r="G27" s="112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5" t="str">
        <f>+FIXED(K28*100,1)</f>
        <v>64.0</v>
      </c>
      <c r="F28" s="30" t="s">
        <v>13</v>
      </c>
      <c r="G28" s="31"/>
      <c r="H28" s="83">
        <f>+H77+H126+H175</f>
        <v>1090.968942</v>
      </c>
      <c r="I28" s="32">
        <f>+H28/H$32</f>
        <v>0.49772068300877204</v>
      </c>
      <c r="J28" s="60">
        <f t="shared" ref="J28:J31" si="6">+J77+J126+J175</f>
        <v>698.320426</v>
      </c>
      <c r="K28" s="32">
        <f>+J28/H28</f>
        <v>0.64009193948254484</v>
      </c>
      <c r="L28" s="21"/>
      <c r="M28" s="2"/>
      <c r="N28" s="2"/>
      <c r="O28" s="10"/>
    </row>
    <row r="29" spans="2:15" x14ac:dyDescent="0.25">
      <c r="B29" s="7"/>
      <c r="C29" s="2"/>
      <c r="D29" s="2"/>
      <c r="E29" s="95" t="str">
        <f>+FIXED(K29*100,1)</f>
        <v>47.3</v>
      </c>
      <c r="F29" s="30" t="s">
        <v>14</v>
      </c>
      <c r="G29" s="31"/>
      <c r="H29" s="60">
        <f t="shared" ref="H29:H31" si="7">+H78+H127+H176</f>
        <v>910.45126300000015</v>
      </c>
      <c r="I29" s="32">
        <f t="shared" ref="I29:I31" si="8">+H29/H$32</f>
        <v>0.41536510071114313</v>
      </c>
      <c r="J29" s="60">
        <f t="shared" si="6"/>
        <v>430.74132399999996</v>
      </c>
      <c r="K29" s="32">
        <f t="shared" ref="K29:K32" si="9">+J29/H29</f>
        <v>0.47310750339417112</v>
      </c>
      <c r="L29" s="21"/>
      <c r="M29" s="2"/>
      <c r="N29" s="2"/>
      <c r="O29" s="10"/>
    </row>
    <row r="30" spans="2:15" x14ac:dyDescent="0.25">
      <c r="B30" s="7"/>
      <c r="C30" s="2"/>
      <c r="D30" s="2"/>
      <c r="E30" s="95" t="str">
        <f>+FIXED((I28+I29)*100,1)</f>
        <v>91.3</v>
      </c>
      <c r="F30" s="30" t="s">
        <v>25</v>
      </c>
      <c r="G30" s="31"/>
      <c r="H30" s="60">
        <f t="shared" si="7"/>
        <v>61.315068000000004</v>
      </c>
      <c r="I30" s="32">
        <f t="shared" si="8"/>
        <v>2.7973094694834406E-2</v>
      </c>
      <c r="J30" s="60">
        <f t="shared" si="6"/>
        <v>33.452489999999997</v>
      </c>
      <c r="K30" s="32">
        <f t="shared" si="9"/>
        <v>0.54558350975000136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60">
        <f t="shared" si="7"/>
        <v>129.194818</v>
      </c>
      <c r="I31" s="32">
        <f t="shared" si="8"/>
        <v>5.894112158525041E-2</v>
      </c>
      <c r="J31" s="60">
        <f t="shared" si="6"/>
        <v>89.286517000000003</v>
      </c>
      <c r="K31" s="32">
        <f t="shared" si="9"/>
        <v>0.69109983188335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2191.9300910000002</v>
      </c>
      <c r="I32" s="43">
        <f>SUM(I28:I31)</f>
        <v>1</v>
      </c>
      <c r="J32" s="66">
        <f>SUM(J28:J31)</f>
        <v>1251.8007569999997</v>
      </c>
      <c r="K32" s="43">
        <f t="shared" si="9"/>
        <v>0.57109520150293869</v>
      </c>
      <c r="L32" s="21"/>
      <c r="M32" s="2"/>
      <c r="N32" s="2"/>
      <c r="O32" s="10"/>
    </row>
    <row r="33" spans="2:15" x14ac:dyDescent="0.25">
      <c r="B33" s="7"/>
      <c r="C33" s="2"/>
      <c r="E33" s="21"/>
      <c r="F33" s="105" t="s">
        <v>93</v>
      </c>
      <c r="G33" s="105"/>
      <c r="H33" s="105"/>
      <c r="I33" s="105"/>
      <c r="J33" s="105"/>
      <c r="K33" s="105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07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TRANSPORTE cuenta con el mayor presupuesto en esta región equivalente a 38.1% del presupuesto total, con un avance de 62.6%.  El sector de SANEAMIENTO es el segundo sector con mayor presupuesto equivalente al 23.4% del total y con un avance del 40.7% y el sector EDUCACION con una ejecución del 52.2%. Los 3 sectores concentran el 74.6% del total presupuestado.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"/>
    </row>
    <row r="36" spans="2:15" x14ac:dyDescent="0.25">
      <c r="B36" s="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08" t="s">
        <v>41</v>
      </c>
      <c r="F38" s="108"/>
      <c r="G38" s="108"/>
      <c r="H38" s="108"/>
      <c r="I38" s="108"/>
      <c r="J38" s="108"/>
      <c r="K38" s="108"/>
      <c r="L38" s="108"/>
      <c r="M38" s="2"/>
      <c r="N38" s="2"/>
      <c r="O38" s="10"/>
    </row>
    <row r="39" spans="2:15" x14ac:dyDescent="0.25">
      <c r="B39" s="7"/>
      <c r="C39" s="2"/>
      <c r="D39" s="21"/>
      <c r="E39" s="21"/>
      <c r="F39" s="109" t="s">
        <v>1</v>
      </c>
      <c r="G39" s="109"/>
      <c r="H39" s="109"/>
      <c r="I39" s="109"/>
      <c r="J39" s="109"/>
      <c r="K39" s="109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0" t="s">
        <v>22</v>
      </c>
      <c r="G40" s="111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102</v>
      </c>
      <c r="G41" s="29"/>
      <c r="H41" s="34">
        <v>835.90313399999991</v>
      </c>
      <c r="I41" s="32">
        <f>+H41/H$49</f>
        <v>0.38135483309079676</v>
      </c>
      <c r="J41" s="34">
        <v>522.96224700000005</v>
      </c>
      <c r="K41" s="32">
        <f>+J41/H41</f>
        <v>0.62562541726276155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110</v>
      </c>
      <c r="G42" s="29"/>
      <c r="H42" s="34">
        <v>512.46544999999992</v>
      </c>
      <c r="I42" s="32">
        <f t="shared" ref="I42:I48" si="10">+H42/H$49</f>
        <v>0.23379643908542883</v>
      </c>
      <c r="J42" s="34">
        <v>208.41215699999998</v>
      </c>
      <c r="K42" s="32">
        <f t="shared" ref="K42:K49" si="11">+J42/H42</f>
        <v>0.40668528385669711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104</v>
      </c>
      <c r="G43" s="29"/>
      <c r="H43" s="34">
        <v>285.837018</v>
      </c>
      <c r="I43" s="32">
        <f t="shared" si="10"/>
        <v>0.13040425840844028</v>
      </c>
      <c r="J43" s="34">
        <v>149.23505399999999</v>
      </c>
      <c r="K43" s="32">
        <f t="shared" si="11"/>
        <v>0.52209841483862662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103</v>
      </c>
      <c r="G44" s="29"/>
      <c r="H44" s="34">
        <v>120.199671</v>
      </c>
      <c r="I44" s="32">
        <f t="shared" si="10"/>
        <v>5.4837365248798897E-2</v>
      </c>
      <c r="J44" s="34">
        <v>87.591460999999995</v>
      </c>
      <c r="K44" s="32">
        <f t="shared" si="11"/>
        <v>0.7287163123765954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113</v>
      </c>
      <c r="G45" s="29"/>
      <c r="H45" s="34">
        <v>75.176412999999997</v>
      </c>
      <c r="I45" s="32">
        <f t="shared" si="10"/>
        <v>3.42969026743472E-2</v>
      </c>
      <c r="J45" s="34">
        <v>50.596775999999998</v>
      </c>
      <c r="K45" s="32">
        <f t="shared" si="11"/>
        <v>0.67304057191449129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111</v>
      </c>
      <c r="G46" s="29"/>
      <c r="H46" s="34">
        <v>73.993994000000001</v>
      </c>
      <c r="I46" s="32">
        <f t="shared" si="10"/>
        <v>3.3757460743760556E-2</v>
      </c>
      <c r="J46" s="34">
        <v>49.761750999999997</v>
      </c>
      <c r="K46" s="32">
        <f t="shared" si="11"/>
        <v>0.67251067701521827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117</v>
      </c>
      <c r="G47" s="29"/>
      <c r="H47" s="34">
        <v>55.200823999999997</v>
      </c>
      <c r="I47" s="32">
        <f t="shared" si="10"/>
        <v>2.5183660841489861E-2</v>
      </c>
      <c r="J47" s="34">
        <v>39.524766</v>
      </c>
      <c r="K47" s="32">
        <f t="shared" si="11"/>
        <v>0.71601768118533882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126</v>
      </c>
      <c r="G48" s="29"/>
      <c r="H48" s="34">
        <v>233.15358700000002</v>
      </c>
      <c r="I48" s="32">
        <f t="shared" si="10"/>
        <v>0.10636907990693761</v>
      </c>
      <c r="J48" s="34">
        <v>143.71654500000002</v>
      </c>
      <c r="K48" s="32">
        <f t="shared" si="11"/>
        <v>0.61640289068338461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2191.9300909999997</v>
      </c>
      <c r="I49" s="43">
        <f>SUM(I41:I48)</f>
        <v>0.99999999999999978</v>
      </c>
      <c r="J49" s="66">
        <f>SUM(J41:J48)</f>
        <v>1251.800757</v>
      </c>
      <c r="K49" s="43">
        <f t="shared" si="11"/>
        <v>0.57109520150293891</v>
      </c>
      <c r="L49" s="21"/>
      <c r="M49" s="2"/>
      <c r="N49" s="2"/>
      <c r="O49" s="10"/>
    </row>
    <row r="50" spans="2:15" x14ac:dyDescent="0.25">
      <c r="B50" s="7"/>
      <c r="C50" s="2"/>
      <c r="E50" s="21"/>
      <c r="F50" s="105" t="s">
        <v>94</v>
      </c>
      <c r="G50" s="105"/>
      <c r="H50" s="105"/>
      <c r="I50" s="105"/>
      <c r="J50" s="105"/>
      <c r="K50" s="105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07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763 proyectos que no cuentan con ningún avance en ejecución del gasto, mientras que 456 (16.0% de proyectos) no superan el 50,0% de ejecución, 1331 proyectos (46.6%) tienen un nivel de ejecución mayor al 50,0% pero no culminan y 307 proyectos por S/ 15.7 millones se han ejecutado al 100,0%.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"/>
    </row>
    <row r="53" spans="2:15" x14ac:dyDescent="0.25">
      <c r="B53" s="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08" t="s">
        <v>42</v>
      </c>
      <c r="F55" s="108"/>
      <c r="G55" s="108"/>
      <c r="H55" s="108"/>
      <c r="I55" s="108"/>
      <c r="J55" s="108"/>
      <c r="K55" s="108"/>
      <c r="L55" s="108"/>
      <c r="M55" s="2"/>
      <c r="N55" s="2"/>
      <c r="O55" s="10"/>
    </row>
    <row r="56" spans="2:15" x14ac:dyDescent="0.25">
      <c r="B56" s="7"/>
      <c r="C56" s="2"/>
      <c r="D56" s="2"/>
      <c r="E56" s="21"/>
      <c r="F56" s="109" t="s">
        <v>36</v>
      </c>
      <c r="G56" s="109"/>
      <c r="H56" s="109"/>
      <c r="I56" s="109"/>
      <c r="J56" s="109"/>
      <c r="K56" s="109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121.01065699999999</v>
      </c>
      <c r="I58" s="60">
        <f t="shared" ref="I58:J58" si="12">+I107+I156+I205</f>
        <v>0</v>
      </c>
      <c r="J58" s="63">
        <f t="shared" si="12"/>
        <v>763</v>
      </c>
      <c r="K58" s="32">
        <f>+J58/J$62</f>
        <v>0.26706335316765839</v>
      </c>
      <c r="L58" s="2"/>
      <c r="M58" s="82">
        <f>SUM(J59:J61)</f>
        <v>2094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0.17739691699740959</v>
      </c>
      <c r="H59" s="60">
        <f t="shared" ref="H59:J61" si="14">+H108+H157+H206</f>
        <v>598.54889699999967</v>
      </c>
      <c r="I59" s="60">
        <f t="shared" si="14"/>
        <v>106.180729</v>
      </c>
      <c r="J59" s="63">
        <f t="shared" si="14"/>
        <v>456</v>
      </c>
      <c r="K59" s="32">
        <f t="shared" ref="K59:K61" si="15">+J59/J$62</f>
        <v>0.15960798039901994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0.77568066663802537</v>
      </c>
      <c r="H60" s="60">
        <f t="shared" si="14"/>
        <v>1456.6307419999991</v>
      </c>
      <c r="I60" s="60">
        <f t="shared" si="14"/>
        <v>1129.8803050000008</v>
      </c>
      <c r="J60" s="63">
        <f t="shared" si="14"/>
        <v>1331</v>
      </c>
      <c r="K60" s="32">
        <f t="shared" si="15"/>
        <v>0.46587329366468322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si="14"/>
        <v>15.739795000000001</v>
      </c>
      <c r="I61" s="60">
        <f t="shared" si="14"/>
        <v>15.739795000000001</v>
      </c>
      <c r="J61" s="63">
        <f t="shared" si="14"/>
        <v>307</v>
      </c>
      <c r="K61" s="32">
        <f t="shared" si="15"/>
        <v>0.10745537276863844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0.57109523435070242</v>
      </c>
      <c r="H62" s="61">
        <f t="shared" ref="H62:J62" si="16">SUM(H58:H61)</f>
        <v>2191.9300909999988</v>
      </c>
      <c r="I62" s="61">
        <f t="shared" si="16"/>
        <v>1251.8008290000007</v>
      </c>
      <c r="J62" s="64">
        <f t="shared" si="16"/>
        <v>2857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05" t="s">
        <v>95</v>
      </c>
      <c r="G63" s="105"/>
      <c r="H63" s="105"/>
      <c r="I63" s="105"/>
      <c r="J63" s="105"/>
      <c r="K63" s="105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06" t="s">
        <v>19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23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63.8%, equivalente a S/ 598.0 millones de soles.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9"/>
    </row>
    <row r="72" spans="2:15" x14ac:dyDescent="0.25">
      <c r="B72" s="7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1" t="s">
        <v>24</v>
      </c>
      <c r="F74" s="121"/>
      <c r="G74" s="121"/>
      <c r="H74" s="121"/>
      <c r="I74" s="121"/>
      <c r="J74" s="121"/>
      <c r="K74" s="121"/>
      <c r="L74" s="121"/>
      <c r="M74" s="2"/>
      <c r="N74" s="2"/>
      <c r="O74" s="10"/>
    </row>
    <row r="75" spans="2:15" x14ac:dyDescent="0.25">
      <c r="B75" s="7"/>
      <c r="C75" s="2"/>
      <c r="D75" s="2"/>
      <c r="E75" s="21"/>
      <c r="F75" s="109" t="s">
        <v>1</v>
      </c>
      <c r="G75" s="109"/>
      <c r="H75" s="109"/>
      <c r="I75" s="109"/>
      <c r="J75" s="109"/>
      <c r="K75" s="109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12" t="s">
        <v>34</v>
      </c>
      <c r="G76" s="112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593.02854400000001</v>
      </c>
      <c r="I77" s="32">
        <f>+H77/$H$81</f>
        <v>0.6327603186588916</v>
      </c>
      <c r="J77" s="34">
        <v>385.17533900000001</v>
      </c>
      <c r="K77" s="32">
        <f>+J77/H77</f>
        <v>0.6495055641031674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253.26012899999998</v>
      </c>
      <c r="I78" s="32">
        <f>+H78/$H$81</f>
        <v>0.27022807173617597</v>
      </c>
      <c r="J78" s="34">
        <v>153.79370299999997</v>
      </c>
      <c r="K78" s="32">
        <f t="shared" ref="K78:K81" si="17">+J78/H78</f>
        <v>0.60725588195526814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35.354095000000001</v>
      </c>
      <c r="I79" s="32">
        <f>+H79/$H$81</f>
        <v>3.7722751534362442E-2</v>
      </c>
      <c r="J79" s="34">
        <v>19.201478000000002</v>
      </c>
      <c r="K79" s="32">
        <f t="shared" si="17"/>
        <v>0.54311892299887754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55.566039999999994</v>
      </c>
      <c r="I80" s="32">
        <f>+H80/$H$81</f>
        <v>5.928885807056989E-2</v>
      </c>
      <c r="J80" s="34">
        <v>39.869729999999997</v>
      </c>
      <c r="K80" s="32">
        <f t="shared" si="17"/>
        <v>0.71751972967661548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937.20880800000009</v>
      </c>
      <c r="I81" s="43">
        <f>+H81/$H$81</f>
        <v>1</v>
      </c>
      <c r="J81" s="42">
        <f>SUM(J77:J80)</f>
        <v>598.0402499999999</v>
      </c>
      <c r="K81" s="43">
        <f t="shared" si="17"/>
        <v>0.63810779934539397</v>
      </c>
      <c r="L81" s="21"/>
      <c r="M81" s="2"/>
      <c r="N81" s="2"/>
      <c r="O81" s="10"/>
    </row>
    <row r="82" spans="2:15" x14ac:dyDescent="0.25">
      <c r="B82" s="7"/>
      <c r="C82" s="2"/>
      <c r="E82" s="21"/>
      <c r="F82" s="105" t="s">
        <v>96</v>
      </c>
      <c r="G82" s="105"/>
      <c r="H82" s="105"/>
      <c r="I82" s="105"/>
      <c r="J82" s="105"/>
      <c r="K82" s="105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23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TRANSPORTE cuenta con el mayor presupuesto del GN en esta región equivalente a 53.6% del presupuesto total, con un avance de 64.8%.  El sector de EDUCACION es el segundo sector con mayor presupuesto equivalente al 13.6% del total y con un avance del 53.3%, en tanto el sector SANEAMIENTO tiene una ejecución del 68.8%.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0"/>
    </row>
    <row r="85" spans="2:15" x14ac:dyDescent="0.25">
      <c r="B85" s="7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08" t="s">
        <v>23</v>
      </c>
      <c r="F87" s="108"/>
      <c r="G87" s="108"/>
      <c r="H87" s="108"/>
      <c r="I87" s="108"/>
      <c r="J87" s="108"/>
      <c r="K87" s="108"/>
      <c r="L87" s="108"/>
      <c r="M87" s="2"/>
      <c r="N87" s="2"/>
      <c r="O87" s="10"/>
    </row>
    <row r="88" spans="2:15" x14ac:dyDescent="0.25">
      <c r="B88" s="7"/>
      <c r="C88" s="2"/>
      <c r="D88" s="21"/>
      <c r="E88" s="21"/>
      <c r="F88" s="109" t="s">
        <v>1</v>
      </c>
      <c r="G88" s="109"/>
      <c r="H88" s="109"/>
      <c r="I88" s="109"/>
      <c r="J88" s="109"/>
      <c r="K88" s="109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0" t="s">
        <v>22</v>
      </c>
      <c r="G89" s="111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102</v>
      </c>
      <c r="G90" s="29"/>
      <c r="H90" s="34">
        <v>502.28578599999997</v>
      </c>
      <c r="I90" s="32">
        <f t="shared" ref="I90:I97" si="18">+H90/$H$98</f>
        <v>0.53593796997264243</v>
      </c>
      <c r="J90" s="34">
        <v>325.292057</v>
      </c>
      <c r="K90" s="32">
        <f>+J90/H90</f>
        <v>0.64762345673863053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104</v>
      </c>
      <c r="G91" s="29"/>
      <c r="H91" s="34">
        <v>127.477965</v>
      </c>
      <c r="I91" s="32">
        <f t="shared" si="18"/>
        <v>0.13601874407479961</v>
      </c>
      <c r="J91" s="34">
        <v>67.884756999999993</v>
      </c>
      <c r="K91" s="32">
        <f t="shared" ref="K91:K98" si="19">+J91/H91</f>
        <v>0.53252149891159617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110</v>
      </c>
      <c r="G92" s="29"/>
      <c r="H92" s="34">
        <v>124.599558</v>
      </c>
      <c r="I92" s="32">
        <f t="shared" si="18"/>
        <v>0.13294748932833336</v>
      </c>
      <c r="J92" s="34">
        <v>85.774023</v>
      </c>
      <c r="K92" s="32">
        <f t="shared" si="19"/>
        <v>0.68839749014197948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117</v>
      </c>
      <c r="G93" s="29"/>
      <c r="H93" s="34">
        <v>55.200823999999997</v>
      </c>
      <c r="I93" s="32">
        <f t="shared" si="18"/>
        <v>5.8899173299276124E-2</v>
      </c>
      <c r="J93" s="34">
        <v>39.524766</v>
      </c>
      <c r="K93" s="32">
        <f t="shared" si="19"/>
        <v>0.71601768118533882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103</v>
      </c>
      <c r="G94" s="29"/>
      <c r="H94" s="34">
        <v>33.699094000000002</v>
      </c>
      <c r="I94" s="32">
        <f t="shared" si="18"/>
        <v>3.5956868642660053E-2</v>
      </c>
      <c r="J94" s="34">
        <v>26.048658</v>
      </c>
      <c r="K94" s="32">
        <f t="shared" si="19"/>
        <v>0.77297799163384029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115</v>
      </c>
      <c r="G95" s="29"/>
      <c r="H95" s="34">
        <v>25.888798999999999</v>
      </c>
      <c r="I95" s="32">
        <f t="shared" si="18"/>
        <v>2.7623298862551878E-2</v>
      </c>
      <c r="J95" s="34">
        <v>19.997831999999999</v>
      </c>
      <c r="K95" s="32">
        <f t="shared" si="19"/>
        <v>0.77245112838181484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116</v>
      </c>
      <c r="G96" s="29"/>
      <c r="H96" s="34">
        <v>18.571231000000001</v>
      </c>
      <c r="I96" s="32">
        <f t="shared" si="18"/>
        <v>1.9815467846093913E-2</v>
      </c>
      <c r="J96" s="34">
        <v>13.537815999999999</v>
      </c>
      <c r="K96" s="32">
        <f t="shared" si="19"/>
        <v>0.72896707816514683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49.485551000000001</v>
      </c>
      <c r="I97" s="32">
        <f t="shared" si="18"/>
        <v>5.2800987973642695E-2</v>
      </c>
      <c r="J97" s="34">
        <v>19.980341000000003</v>
      </c>
      <c r="K97" s="32">
        <f t="shared" si="19"/>
        <v>0.40376110998541781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937.20880799999986</v>
      </c>
      <c r="I98" s="43">
        <f>SUM(I90:I97)</f>
        <v>1</v>
      </c>
      <c r="J98" s="42">
        <f>SUM(J90:J97)</f>
        <v>598.04025000000001</v>
      </c>
      <c r="K98" s="43">
        <f t="shared" si="19"/>
        <v>0.63810779934539419</v>
      </c>
      <c r="L98" s="21"/>
      <c r="M98" s="2"/>
      <c r="N98" s="2"/>
      <c r="O98" s="10"/>
    </row>
    <row r="99" spans="2:15" x14ac:dyDescent="0.25">
      <c r="B99" s="7"/>
      <c r="C99" s="2"/>
      <c r="E99" s="21"/>
      <c r="F99" s="105" t="s">
        <v>97</v>
      </c>
      <c r="G99" s="105"/>
      <c r="H99" s="105"/>
      <c r="I99" s="105"/>
      <c r="J99" s="105"/>
      <c r="K99" s="105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23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77 proyectos que no cuentan con ningún avance en ejecución del gasto, mientras que 87 (26.0% de proyectos) no superan el 50,0% de ejecución, 145 proyectos (43.3%) tienen un nivel de ejecución mayor al 50,0% pero no culminan y solo 26 proyectos por S/ 1.3 millones se han ejecutado al 100,0%.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0"/>
    </row>
    <row r="102" spans="2:15" x14ac:dyDescent="0.25">
      <c r="B102" s="7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08" t="s">
        <v>35</v>
      </c>
      <c r="F104" s="108"/>
      <c r="G104" s="108"/>
      <c r="H104" s="108"/>
      <c r="I104" s="108"/>
      <c r="J104" s="108"/>
      <c r="K104" s="108"/>
      <c r="L104" s="108"/>
      <c r="M104" s="2"/>
      <c r="N104" s="2"/>
      <c r="O104" s="10"/>
    </row>
    <row r="105" spans="2:15" x14ac:dyDescent="0.25">
      <c r="B105" s="7"/>
      <c r="C105" s="2"/>
      <c r="D105" s="2"/>
      <c r="E105" s="21"/>
      <c r="F105" s="109" t="s">
        <v>36</v>
      </c>
      <c r="G105" s="109"/>
      <c r="H105" s="109"/>
      <c r="I105" s="109"/>
      <c r="J105" s="109"/>
      <c r="K105" s="109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21.320199999999996</v>
      </c>
      <c r="I107" s="34">
        <v>0</v>
      </c>
      <c r="J107" s="44">
        <v>77</v>
      </c>
      <c r="K107" s="32">
        <f>+J107/$J$111</f>
        <v>0.2298507462686567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0.25453158287658301</v>
      </c>
      <c r="H108" s="34">
        <v>170.520218</v>
      </c>
      <c r="I108" s="34">
        <v>43.402780999999997</v>
      </c>
      <c r="J108" s="44">
        <v>87</v>
      </c>
      <c r="K108" s="32">
        <f>+J108/$J$111</f>
        <v>0.25970149253731345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0.74367976494412824</v>
      </c>
      <c r="H109" s="34">
        <v>744.11176299999931</v>
      </c>
      <c r="I109" s="34">
        <v>553.38086100000032</v>
      </c>
      <c r="J109" s="44">
        <v>145</v>
      </c>
      <c r="K109" s="32">
        <f>+J109/$J$111</f>
        <v>0.43283582089552236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1.2566270000000004</v>
      </c>
      <c r="I110" s="34">
        <v>1.2566270000000004</v>
      </c>
      <c r="J110" s="44">
        <v>26</v>
      </c>
      <c r="K110" s="32">
        <f>+J110/$J$111</f>
        <v>7.7611940298507459E-2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0.6381078196183585</v>
      </c>
      <c r="H111" s="42">
        <f t="shared" ref="H111:J111" si="21">SUM(H107:H110)</f>
        <v>937.20880799999929</v>
      </c>
      <c r="I111" s="42">
        <f t="shared" si="21"/>
        <v>598.04026900000031</v>
      </c>
      <c r="J111" s="45">
        <f t="shared" si="21"/>
        <v>335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05" t="s">
        <v>98</v>
      </c>
      <c r="G112" s="105"/>
      <c r="H112" s="105"/>
      <c r="I112" s="105"/>
      <c r="J112" s="105"/>
      <c r="K112" s="105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06" t="s">
        <v>32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23" t="str">
        <f>+CONCATENATE("Los proyectos del Gobierno Regional tienen una ejecución del ",FIXED(K130*100,1),"%, equivalente a S/ ",FIXED(J130,1)," millones de soles.")</f>
        <v>Los proyectos del Gobierno Regional tienen una ejecución del 52.4%, equivalente a S/ 118.6 millones de soles.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9"/>
    </row>
    <row r="121" spans="2:15" x14ac:dyDescent="0.25">
      <c r="B121" s="7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1" t="s">
        <v>37</v>
      </c>
      <c r="F123" s="121"/>
      <c r="G123" s="121"/>
      <c r="H123" s="121"/>
      <c r="I123" s="121"/>
      <c r="J123" s="121"/>
      <c r="K123" s="121"/>
      <c r="L123" s="121"/>
      <c r="M123" s="2"/>
      <c r="N123" s="2"/>
      <c r="O123" s="10"/>
    </row>
    <row r="124" spans="2:15" x14ac:dyDescent="0.25">
      <c r="B124" s="7"/>
      <c r="C124" s="2"/>
      <c r="D124" s="2"/>
      <c r="E124" s="21"/>
      <c r="F124" s="109" t="s">
        <v>1</v>
      </c>
      <c r="G124" s="109"/>
      <c r="H124" s="109"/>
      <c r="I124" s="109"/>
      <c r="J124" s="109"/>
      <c r="K124" s="109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12" t="s">
        <v>34</v>
      </c>
      <c r="G125" s="112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161.35051200000001</v>
      </c>
      <c r="I126" s="32">
        <f>+H126/H$130</f>
        <v>0.7137104027780361</v>
      </c>
      <c r="J126" s="34">
        <v>88.79276200000001</v>
      </c>
      <c r="K126" s="32">
        <f>+J126/H126</f>
        <v>0.55030976288442146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55.253318000000007</v>
      </c>
      <c r="I127" s="32">
        <f t="shared" ref="I127:I129" si="22">+H127/H$130</f>
        <v>0.24440497495665162</v>
      </c>
      <c r="J127" s="34">
        <v>23.609276000000001</v>
      </c>
      <c r="K127" s="32">
        <f t="shared" ref="K127:K130" si="23">+J127/H127</f>
        <v>0.42729155197521346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6.7992780000000002</v>
      </c>
      <c r="I128" s="32">
        <f t="shared" si="22"/>
        <v>3.0075612279308044E-2</v>
      </c>
      <c r="J128" s="34">
        <v>5.2238559999999996</v>
      </c>
      <c r="K128" s="32">
        <f t="shared" si="23"/>
        <v>0.7682956925720642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2.6696960000000001</v>
      </c>
      <c r="I129" s="32">
        <f t="shared" si="22"/>
        <v>1.1809009986004333E-2</v>
      </c>
      <c r="J129" s="34">
        <v>0.94194599999999995</v>
      </c>
      <c r="K129" s="32">
        <f t="shared" si="23"/>
        <v>0.35282893632833101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226.07280399999999</v>
      </c>
      <c r="I130" s="43">
        <f>SUM(I126:I129)</f>
        <v>1</v>
      </c>
      <c r="J130" s="42">
        <f>SUM(J126:J129)</f>
        <v>118.56784</v>
      </c>
      <c r="K130" s="43">
        <f t="shared" si="23"/>
        <v>0.52446750737872927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05" t="s">
        <v>99</v>
      </c>
      <c r="G131" s="105"/>
      <c r="H131" s="105"/>
      <c r="I131" s="105"/>
      <c r="J131" s="105"/>
      <c r="K131" s="105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23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TRANSPORTE cuenta con el mayor presupuesto del GR en esta región equivalente a 48.1% del presupuesto total, con un avance de 44.8%.  El sector de AGROPECUARIA es el segundo sector con mayor presupuesto equivalente al 20.0% del total y con un avance del 74.7%, en tanto el sector EDUCACION tiene una ejecución del 33.8%.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0"/>
    </row>
    <row r="134" spans="2:15" x14ac:dyDescent="0.25">
      <c r="B134" s="7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08" t="s">
        <v>23</v>
      </c>
      <c r="F136" s="108"/>
      <c r="G136" s="108"/>
      <c r="H136" s="108"/>
      <c r="I136" s="108"/>
      <c r="J136" s="108"/>
      <c r="K136" s="108"/>
      <c r="L136" s="108"/>
      <c r="M136" s="2"/>
      <c r="N136" s="2"/>
      <c r="O136" s="10"/>
    </row>
    <row r="137" spans="2:15" x14ac:dyDescent="0.25">
      <c r="B137" s="7"/>
      <c r="C137" s="2"/>
      <c r="D137" s="21"/>
      <c r="E137" s="21"/>
      <c r="F137" s="109" t="s">
        <v>1</v>
      </c>
      <c r="G137" s="109"/>
      <c r="H137" s="109"/>
      <c r="I137" s="109"/>
      <c r="J137" s="109"/>
      <c r="K137" s="109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12" t="s">
        <v>22</v>
      </c>
      <c r="G138" s="112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102</v>
      </c>
      <c r="G139" s="29"/>
      <c r="H139" s="34">
        <v>108.71931600000001</v>
      </c>
      <c r="I139" s="32">
        <f>+H139/H$147</f>
        <v>0.48090400117300275</v>
      </c>
      <c r="J139" s="34">
        <v>48.745711</v>
      </c>
      <c r="K139" s="32">
        <f>+J139/H139</f>
        <v>0.44836292936206479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103</v>
      </c>
      <c r="G140" s="29"/>
      <c r="H140" s="34">
        <v>45.250039999999998</v>
      </c>
      <c r="I140" s="32">
        <f t="shared" ref="I140:I146" si="24">+H140/H$147</f>
        <v>0.20015693705466672</v>
      </c>
      <c r="J140" s="34">
        <v>33.818666999999998</v>
      </c>
      <c r="K140" s="32">
        <f t="shared" ref="K140:K147" si="25">+J140/H140</f>
        <v>0.74737319569220273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104</v>
      </c>
      <c r="G141" s="29"/>
      <c r="H141" s="34">
        <v>32.034564000000003</v>
      </c>
      <c r="I141" s="32">
        <f t="shared" si="24"/>
        <v>0.14170021087543111</v>
      </c>
      <c r="J141" s="34">
        <v>10.815682000000001</v>
      </c>
      <c r="K141" s="32">
        <f t="shared" si="25"/>
        <v>0.33762538488115523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109</v>
      </c>
      <c r="G142" s="29"/>
      <c r="H142" s="34">
        <v>13.014824000000001</v>
      </c>
      <c r="I142" s="32">
        <f t="shared" si="24"/>
        <v>5.7569171389584763E-2</v>
      </c>
      <c r="J142" s="34">
        <v>7.1544809999999996</v>
      </c>
      <c r="K142" s="32">
        <f t="shared" si="25"/>
        <v>0.54971784482064445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113</v>
      </c>
      <c r="G143" s="29"/>
      <c r="H143" s="34">
        <v>10.20393</v>
      </c>
      <c r="I143" s="32">
        <f t="shared" si="24"/>
        <v>4.5135592691635751E-2</v>
      </c>
      <c r="J143" s="34">
        <v>5.639113</v>
      </c>
      <c r="K143" s="32">
        <f>+J143/H143</f>
        <v>0.5526412862495137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106</v>
      </c>
      <c r="G144" s="29"/>
      <c r="H144" s="34">
        <v>6.7992780000000002</v>
      </c>
      <c r="I144" s="32">
        <f t="shared" si="24"/>
        <v>3.0075612279308047E-2</v>
      </c>
      <c r="J144" s="34">
        <v>5.2238559999999996</v>
      </c>
      <c r="K144" s="32">
        <f t="shared" si="25"/>
        <v>0.7682956925720642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105</v>
      </c>
      <c r="G145" s="29"/>
      <c r="H145" s="34">
        <v>4.3417690000000002</v>
      </c>
      <c r="I145" s="32">
        <f t="shared" si="24"/>
        <v>1.9205180469208497E-2</v>
      </c>
      <c r="J145" s="34">
        <v>3.6192530000000001</v>
      </c>
      <c r="K145" s="32">
        <f t="shared" si="25"/>
        <v>0.8335894885241476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5.7090830000000006</v>
      </c>
      <c r="I146" s="32">
        <f t="shared" si="24"/>
        <v>2.5253294067162549E-2</v>
      </c>
      <c r="J146" s="34">
        <v>3.5510769999999998</v>
      </c>
      <c r="K146" s="32">
        <f t="shared" si="25"/>
        <v>0.62200479481555959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226.07280399999996</v>
      </c>
      <c r="I147" s="43">
        <f>SUM(I139:I146)</f>
        <v>1</v>
      </c>
      <c r="J147" s="42">
        <f>SUM(J139:J146)</f>
        <v>118.56784</v>
      </c>
      <c r="K147" s="43">
        <f t="shared" si="25"/>
        <v>0.52446750737872927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05" t="s">
        <v>96</v>
      </c>
      <c r="G148" s="105"/>
      <c r="H148" s="105"/>
      <c r="I148" s="105"/>
      <c r="J148" s="105"/>
      <c r="K148" s="105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23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115 proyectos que no cuentan con ningún avance en ejecución del gasto, mientras que 39 (14.3% de proyectos) no superan el 50,0% de ejecución, 107 proyectos (39.3%) tienen un nivel de ejecución mayor al 50,0% pero no culminan y solo 11 proyectos por S/ 1.7 millones se han ejecutado al 100,0%.</v>
      </c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0"/>
    </row>
    <row r="151" spans="2:15" x14ac:dyDescent="0.25">
      <c r="B151" s="7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08" t="s">
        <v>35</v>
      </c>
      <c r="F153" s="108"/>
      <c r="G153" s="108"/>
      <c r="H153" s="108"/>
      <c r="I153" s="108"/>
      <c r="J153" s="108"/>
      <c r="K153" s="108"/>
      <c r="L153" s="108"/>
      <c r="M153" s="2"/>
      <c r="N153" s="2"/>
      <c r="O153" s="10"/>
    </row>
    <row r="154" spans="2:15" x14ac:dyDescent="0.25">
      <c r="B154" s="7"/>
      <c r="C154" s="2"/>
      <c r="D154" s="2"/>
      <c r="E154" s="21"/>
      <c r="F154" s="109" t="s">
        <v>36</v>
      </c>
      <c r="G154" s="109"/>
      <c r="H154" s="109"/>
      <c r="I154" s="109"/>
      <c r="J154" s="109"/>
      <c r="K154" s="109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11.457454999999996</v>
      </c>
      <c r="I156" s="34">
        <v>0</v>
      </c>
      <c r="J156" s="44">
        <v>115</v>
      </c>
      <c r="K156" s="32">
        <f>+J156/J$160</f>
        <v>0.42279411764705882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0.17630240487887139</v>
      </c>
      <c r="H157" s="34">
        <v>72.211453999999989</v>
      </c>
      <c r="I157" s="34">
        <v>12.731052999999996</v>
      </c>
      <c r="J157" s="44">
        <v>39</v>
      </c>
      <c r="K157" s="32">
        <f t="shared" ref="K157:K159" si="27">+J157/J$160</f>
        <v>0.14338235294117646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0.74019080795186409</v>
      </c>
      <c r="H158" s="34">
        <v>140.74602099999993</v>
      </c>
      <c r="I158" s="34">
        <v>104.17891099999997</v>
      </c>
      <c r="J158" s="44">
        <v>107</v>
      </c>
      <c r="K158" s="32">
        <f t="shared" si="27"/>
        <v>0.39338235294117646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1.6578739999999998</v>
      </c>
      <c r="I159" s="34">
        <v>1.6578739999999998</v>
      </c>
      <c r="J159" s="44">
        <v>11</v>
      </c>
      <c r="K159" s="32">
        <f t="shared" si="27"/>
        <v>4.0441176470588237E-2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0.52446749853202168</v>
      </c>
      <c r="H160" s="42">
        <f t="shared" ref="H160:J160" si="28">SUM(H156:H159)</f>
        <v>226.07280399999991</v>
      </c>
      <c r="I160" s="42">
        <f t="shared" si="28"/>
        <v>118.56783799999998</v>
      </c>
      <c r="J160" s="45">
        <f t="shared" si="28"/>
        <v>272</v>
      </c>
      <c r="K160" s="43">
        <f>SUM(K156:K159)</f>
        <v>0.99999999999999989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05" t="s">
        <v>93</v>
      </c>
      <c r="G161" s="105"/>
      <c r="H161" s="105"/>
      <c r="I161" s="105"/>
      <c r="J161" s="105"/>
      <c r="K161" s="105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06" t="s">
        <v>33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23" t="str">
        <f>+CONCATENATE("Los proyectos de los Gobierno Locales tienen una ejecución del ",FIXED(K179*100,1),"%, equivalente a S/ ",FIXED(J179,1)," millones de soles.")</f>
        <v>Los proyectos de los Gobierno Locales tienen una ejecución del 52.0%, equivalente a S/ 535.2 millones de soles.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9"/>
    </row>
    <row r="170" spans="2:15" x14ac:dyDescent="0.25">
      <c r="B170" s="7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1" t="s">
        <v>38</v>
      </c>
      <c r="F172" s="121"/>
      <c r="G172" s="121"/>
      <c r="H172" s="121"/>
      <c r="I172" s="121"/>
      <c r="J172" s="121"/>
      <c r="K172" s="121"/>
      <c r="L172" s="121"/>
      <c r="M172" s="2"/>
      <c r="N172" s="2"/>
      <c r="O172" s="10"/>
    </row>
    <row r="173" spans="2:15" x14ac:dyDescent="0.25">
      <c r="B173" s="7"/>
      <c r="C173" s="2"/>
      <c r="D173" s="2"/>
      <c r="E173" s="21"/>
      <c r="F173" s="109" t="s">
        <v>1</v>
      </c>
      <c r="G173" s="109"/>
      <c r="H173" s="109"/>
      <c r="I173" s="109"/>
      <c r="J173" s="109"/>
      <c r="K173" s="109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12" t="s">
        <v>34</v>
      </c>
      <c r="G174" s="112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336.58988600000004</v>
      </c>
      <c r="I175" s="32">
        <f>+H175/H$179</f>
        <v>0.3272156551742687</v>
      </c>
      <c r="J175" s="34">
        <v>224.35232500000001</v>
      </c>
      <c r="K175" s="32">
        <f>+J175/H175</f>
        <v>0.66654505774424844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601.93781600000011</v>
      </c>
      <c r="I176" s="32">
        <f t="shared" ref="I176:I178" si="29">+H176/H$179</f>
        <v>0.58517348568402439</v>
      </c>
      <c r="J176" s="34">
        <v>253.338345</v>
      </c>
      <c r="K176" s="32">
        <f t="shared" ref="K176:K179" si="30">+J176/H176</f>
        <v>0.4208712898011378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19.161695000000002</v>
      </c>
      <c r="I177" s="32">
        <f t="shared" si="29"/>
        <v>1.8628030266109982E-2</v>
      </c>
      <c r="J177" s="34">
        <v>9.0271559999999997</v>
      </c>
      <c r="K177" s="32">
        <f t="shared" si="30"/>
        <v>0.47110425252045807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70.959081999999995</v>
      </c>
      <c r="I178" s="32">
        <f t="shared" si="29"/>
        <v>6.8982828875596855E-2</v>
      </c>
      <c r="J178" s="34">
        <v>48.474840999999998</v>
      </c>
      <c r="K178" s="32">
        <f t="shared" si="30"/>
        <v>0.68313793856577798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61">
        <f>SUM(H175:H178)</f>
        <v>1028.6484790000002</v>
      </c>
      <c r="I179" s="43">
        <f>SUM(I175:I178)</f>
        <v>0.99999999999999989</v>
      </c>
      <c r="J179" s="42">
        <f>SUM(J175:J178)</f>
        <v>535.19266700000003</v>
      </c>
      <c r="K179" s="43">
        <f t="shared" si="30"/>
        <v>0.52028722923917325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05" t="s">
        <v>100</v>
      </c>
      <c r="G180" s="105"/>
      <c r="H180" s="105"/>
      <c r="I180" s="105"/>
      <c r="J180" s="105"/>
      <c r="K180" s="105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23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SANEAMIENTO cuenta con el mayor presupuesto de los GL en consjunto en esta región equivalente a 37.7% del presupuesto total, con un avance de 31.6%.  El sector de TRANSPORTE es el segundo sector con mayor presupuesto equivalente al 21.9% del total y con un avance del 66.2%, en tanto el sector EDUCACION tiene una ejecución del 55.8%.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0"/>
    </row>
    <row r="183" spans="2:15" x14ac:dyDescent="0.25">
      <c r="B183" s="7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08" t="s">
        <v>23</v>
      </c>
      <c r="F185" s="108"/>
      <c r="G185" s="108"/>
      <c r="H185" s="108"/>
      <c r="I185" s="108"/>
      <c r="J185" s="108"/>
      <c r="K185" s="108"/>
      <c r="L185" s="108"/>
      <c r="M185" s="2"/>
      <c r="N185" s="2"/>
      <c r="O185" s="10"/>
    </row>
    <row r="186" spans="2:15" x14ac:dyDescent="0.25">
      <c r="B186" s="7"/>
      <c r="C186" s="2"/>
      <c r="D186" s="21"/>
      <c r="E186" s="21"/>
      <c r="F186" s="109" t="s">
        <v>1</v>
      </c>
      <c r="G186" s="109"/>
      <c r="H186" s="109"/>
      <c r="I186" s="109"/>
      <c r="J186" s="109"/>
      <c r="K186" s="109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12" t="s">
        <v>22</v>
      </c>
      <c r="G187" s="112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110</v>
      </c>
      <c r="G188" s="29"/>
      <c r="H188" s="34">
        <v>387.86589199999997</v>
      </c>
      <c r="I188" s="32">
        <f>+H188/H$196</f>
        <v>0.37706359355828106</v>
      </c>
      <c r="J188" s="34">
        <v>122.63813399999999</v>
      </c>
      <c r="K188" s="32">
        <f>+J188/H188</f>
        <v>0.3161869515456131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102</v>
      </c>
      <c r="G189" s="29"/>
      <c r="H189" s="34">
        <v>224.898032</v>
      </c>
      <c r="I189" s="32">
        <f t="shared" ref="I189:I195" si="31">+H189/H$196</f>
        <v>0.2186344865046945</v>
      </c>
      <c r="J189" s="34">
        <v>148.92447899999999</v>
      </c>
      <c r="K189" s="32">
        <f t="shared" ref="K189:K191" si="32">+J189/H189</f>
        <v>0.66218667044627577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104</v>
      </c>
      <c r="G190" s="29"/>
      <c r="H190" s="34">
        <v>126.324489</v>
      </c>
      <c r="I190" s="32">
        <f t="shared" si="31"/>
        <v>0.12280627598147648</v>
      </c>
      <c r="J190" s="34">
        <v>70.534615000000002</v>
      </c>
      <c r="K190" s="32">
        <f t="shared" si="32"/>
        <v>0.55836058042554204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111</v>
      </c>
      <c r="G191" s="29"/>
      <c r="H191" s="34">
        <v>70.959081999999995</v>
      </c>
      <c r="I191" s="32">
        <f t="shared" si="31"/>
        <v>6.8982828875596869E-2</v>
      </c>
      <c r="J191" s="34">
        <v>48.474840999999998</v>
      </c>
      <c r="K191" s="32">
        <f t="shared" si="32"/>
        <v>0.68313793856577798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113</v>
      </c>
      <c r="G192" s="29"/>
      <c r="H192" s="34">
        <v>64.972482999999997</v>
      </c>
      <c r="I192" s="32">
        <f t="shared" si="31"/>
        <v>6.3162960259429884E-2</v>
      </c>
      <c r="J192" s="34">
        <v>44.957662999999997</v>
      </c>
      <c r="K192" s="32">
        <f>+J192/H192</f>
        <v>0.69194928259090849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114</v>
      </c>
      <c r="G193" s="29"/>
      <c r="H193" s="34">
        <v>41.598092999999999</v>
      </c>
      <c r="I193" s="32">
        <f t="shared" si="31"/>
        <v>4.0439561083529293E-2</v>
      </c>
      <c r="J193" s="34">
        <v>28.161234</v>
      </c>
      <c r="K193" s="32">
        <f t="shared" ref="K193:K196" si="33">+J193/H193</f>
        <v>0.6769837742321505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103</v>
      </c>
      <c r="G194" s="29"/>
      <c r="H194" s="34">
        <v>41.250537000000001</v>
      </c>
      <c r="I194" s="32">
        <f t="shared" si="31"/>
        <v>4.0101684727227409E-2</v>
      </c>
      <c r="J194" s="34">
        <v>27.724136000000001</v>
      </c>
      <c r="K194" s="32">
        <f t="shared" si="33"/>
        <v>0.67209151725709659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70.779870999999986</v>
      </c>
      <c r="I195" s="32">
        <f t="shared" si="31"/>
        <v>6.8808609009764543E-2</v>
      </c>
      <c r="J195" s="34">
        <v>43.777564999999996</v>
      </c>
      <c r="K195" s="32">
        <f t="shared" si="33"/>
        <v>0.61850303457037958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61">
        <f>SUM(H188:H195)</f>
        <v>1028.648479</v>
      </c>
      <c r="I196" s="43">
        <f>SUM(I188:I195)</f>
        <v>1</v>
      </c>
      <c r="J196" s="42">
        <f>SUM(J188:J195)</f>
        <v>535.19266699999991</v>
      </c>
      <c r="K196" s="43">
        <f t="shared" si="33"/>
        <v>0.52028722923917325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05" t="s">
        <v>101</v>
      </c>
      <c r="G197" s="105"/>
      <c r="H197" s="105"/>
      <c r="I197" s="105"/>
      <c r="J197" s="105"/>
      <c r="K197" s="105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23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571 proyectos que no cuentan con ningún avance en ejecución del gasto, mientras que 330 (14.7% de proyectos) no superan el 50,0% de ejecución, 1079 proyectos (48.0%) tienen un nivel de ejecución mayor al 50,0% pero no culminan y solo 270 proyectos por S/ 12.8 millones se han ejecutado al 100,0%.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0"/>
    </row>
    <row r="200" spans="2:15" x14ac:dyDescent="0.25">
      <c r="B200" s="7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08" t="s">
        <v>35</v>
      </c>
      <c r="F202" s="108"/>
      <c r="G202" s="108"/>
      <c r="H202" s="108"/>
      <c r="I202" s="108"/>
      <c r="J202" s="108"/>
      <c r="K202" s="108"/>
      <c r="L202" s="108"/>
      <c r="M202" s="2"/>
      <c r="N202" s="2"/>
      <c r="O202" s="10"/>
    </row>
    <row r="203" spans="2:15" x14ac:dyDescent="0.25">
      <c r="B203" s="7"/>
      <c r="C203" s="2"/>
      <c r="D203" s="2"/>
      <c r="E203" s="21"/>
      <c r="F203" s="109" t="s">
        <v>36</v>
      </c>
      <c r="G203" s="109"/>
      <c r="H203" s="109"/>
      <c r="I203" s="109"/>
      <c r="J203" s="109"/>
      <c r="K203" s="109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88.233001999999999</v>
      </c>
      <c r="I205" s="34">
        <v>0</v>
      </c>
      <c r="J205" s="44">
        <v>571</v>
      </c>
      <c r="K205" s="32">
        <f>+J205/J$209</f>
        <v>0.25377777777777777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0.14065337899254332</v>
      </c>
      <c r="H206" s="34">
        <v>355.81722499999961</v>
      </c>
      <c r="I206" s="34">
        <v>50.046895000000006</v>
      </c>
      <c r="J206" s="44">
        <v>330</v>
      </c>
      <c r="K206" s="32">
        <f t="shared" ref="K206:K208" si="35">+J206/J$209</f>
        <v>0.14666666666666667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0.82606308394179173</v>
      </c>
      <c r="H207" s="34">
        <v>571.7729579999999</v>
      </c>
      <c r="I207" s="34">
        <v>472.32053300000047</v>
      </c>
      <c r="J207" s="60">
        <v>1079</v>
      </c>
      <c r="K207" s="32">
        <f t="shared" si="35"/>
        <v>0.47955555555555557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</v>
      </c>
      <c r="H208" s="34">
        <v>12.825294</v>
      </c>
      <c r="I208" s="34">
        <v>12.825294</v>
      </c>
      <c r="J208" s="44">
        <v>270</v>
      </c>
      <c r="K208" s="32">
        <f t="shared" si="35"/>
        <v>0.12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0.520287282707391</v>
      </c>
      <c r="H209" s="61">
        <f t="shared" ref="H209:J209" si="36">SUM(H205:H208)</f>
        <v>1028.6484789999995</v>
      </c>
      <c r="I209" s="42">
        <f t="shared" si="36"/>
        <v>535.19272200000046</v>
      </c>
      <c r="J209" s="61">
        <f t="shared" si="36"/>
        <v>2250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05" t="s">
        <v>97</v>
      </c>
      <c r="G210" s="105"/>
      <c r="H210" s="105"/>
      <c r="I210" s="105"/>
      <c r="J210" s="105"/>
      <c r="K210" s="105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E14:F15"/>
    <mergeCell ref="G14:I14"/>
    <mergeCell ref="J14:L14"/>
    <mergeCell ref="B1:O2"/>
    <mergeCell ref="C7:N7"/>
    <mergeCell ref="C9:N10"/>
    <mergeCell ref="E12:L12"/>
    <mergeCell ref="E13:L13"/>
    <mergeCell ref="C52:N53"/>
    <mergeCell ref="E20:L20"/>
    <mergeCell ref="C22:N23"/>
    <mergeCell ref="E25:L25"/>
    <mergeCell ref="F26:K26"/>
    <mergeCell ref="F27:G27"/>
    <mergeCell ref="F33:K33"/>
    <mergeCell ref="C35:N36"/>
    <mergeCell ref="E38:L38"/>
    <mergeCell ref="F39:K39"/>
    <mergeCell ref="F40:G40"/>
    <mergeCell ref="F50:K50"/>
    <mergeCell ref="F88:K88"/>
    <mergeCell ref="E55:L55"/>
    <mergeCell ref="F56:K56"/>
    <mergeCell ref="F63:K63"/>
    <mergeCell ref="C69:N69"/>
    <mergeCell ref="C71:N72"/>
    <mergeCell ref="E74:L74"/>
    <mergeCell ref="F75:K75"/>
    <mergeCell ref="F76:G76"/>
    <mergeCell ref="F82:K82"/>
    <mergeCell ref="C84:N85"/>
    <mergeCell ref="E87:L87"/>
    <mergeCell ref="F131:K131"/>
    <mergeCell ref="F89:G89"/>
    <mergeCell ref="F99:K99"/>
    <mergeCell ref="C101:N102"/>
    <mergeCell ref="E104:L104"/>
    <mergeCell ref="F105:K105"/>
    <mergeCell ref="F112:K112"/>
    <mergeCell ref="C118:N118"/>
    <mergeCell ref="C120:N121"/>
    <mergeCell ref="E123:L123"/>
    <mergeCell ref="F124:K124"/>
    <mergeCell ref="F125:G125"/>
    <mergeCell ref="E172:L172"/>
    <mergeCell ref="C133:N134"/>
    <mergeCell ref="E136:L136"/>
    <mergeCell ref="F137:K137"/>
    <mergeCell ref="F138:G138"/>
    <mergeCell ref="F148:K148"/>
    <mergeCell ref="C150:N151"/>
    <mergeCell ref="E153:L153"/>
    <mergeCell ref="F154:K154"/>
    <mergeCell ref="F161:K161"/>
    <mergeCell ref="C167:N167"/>
    <mergeCell ref="C169:N170"/>
    <mergeCell ref="F210:K210"/>
    <mergeCell ref="F173:K173"/>
    <mergeCell ref="F174:G174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</mergeCells>
  <conditionalFormatting sqref="I81">
    <cfRule type="cellIs" dxfId="3" priority="2" operator="equal">
      <formula>0</formula>
    </cfRule>
  </conditionalFormatting>
  <conditionalFormatting sqref="I101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zoomScaleNormal="100" workbookViewId="0"/>
  </sheetViews>
  <sheetFormatPr baseColWidth="10" defaultColWidth="0" defaultRowHeight="15" x14ac:dyDescent="0.25"/>
  <cols>
    <col min="1" max="16" width="11.7109375" style="1" customWidth="1"/>
    <col min="17" max="16384" width="11.42578125" style="1" hidden="1"/>
  </cols>
  <sheetData>
    <row r="1" spans="2:15" ht="15" customHeight="1" x14ac:dyDescent="0.25">
      <c r="B1" s="124" t="s">
        <v>121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15" customHeight="1" x14ac:dyDescent="0.2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x14ac:dyDescent="0.25">
      <c r="B3" s="18" t="str">
        <f>+C7</f>
        <v>1. Ejecución del de proyectos de inversión pública en la Región</v>
      </c>
      <c r="C3" s="19"/>
      <c r="D3" s="19"/>
      <c r="E3" s="19"/>
      <c r="F3" s="19"/>
      <c r="G3" s="18"/>
      <c r="H3" s="20"/>
      <c r="I3" s="20" t="str">
        <f>+C118</f>
        <v>3. Ejecución de proyectos de inversión pública por el Gobierno Regional</v>
      </c>
      <c r="J3" s="20"/>
      <c r="K3" s="20"/>
      <c r="L3" s="18"/>
      <c r="M3" s="21"/>
      <c r="N3" s="21"/>
      <c r="O3" s="21"/>
    </row>
    <row r="4" spans="2:15" x14ac:dyDescent="0.25">
      <c r="B4" s="18" t="str">
        <f>+C69</f>
        <v>2. Ejecución de proyectos de inversión pública por el Gobierno Nacional en la región</v>
      </c>
      <c r="C4" s="19"/>
      <c r="D4" s="19"/>
      <c r="E4" s="19"/>
      <c r="F4" s="19"/>
      <c r="G4" s="18"/>
      <c r="H4" s="20"/>
      <c r="I4" s="20" t="str">
        <f>+C167</f>
        <v>4. Ejecución de proyectos de inversión pública por los Gobiernos Locales</v>
      </c>
      <c r="J4" s="20"/>
      <c r="K4" s="20"/>
      <c r="L4" s="18"/>
      <c r="M4" s="21"/>
      <c r="N4" s="21"/>
      <c r="O4" s="21"/>
    </row>
    <row r="6" spans="2:15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5">
      <c r="B7" s="7"/>
      <c r="C7" s="106" t="s">
        <v>39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8"/>
    </row>
    <row r="8" spans="2:15" x14ac:dyDescent="0.25">
      <c r="B8" s="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"/>
    </row>
    <row r="9" spans="2:15" ht="15" customHeight="1" x14ac:dyDescent="0.25">
      <c r="B9" s="7"/>
      <c r="C9" s="107" t="str">
        <f>+CONCATENATE("A la fecha en la región  se vienen ejecutando S/", " ",C19," millones, lo que equivale a un avance en la ejecución del presupuesto del"," ",D19,"%. Por niveles de gobierno, el Gobierno Nacional viene ejecutando el"," ",D16,"%  del presupuesto para esta región, el Gobierno Regional un ", D17, "%  y de los gobiernos locales en conjunto que tienen una ejecución del ", D18,"%.")</f>
        <v>A la fecha en la región  se vienen ejecutando S/ 543.2 millones, lo que equivale a un avance en la ejecución del presupuesto del 70.2%. Por niveles de gobierno, el Gobierno Nacional viene ejecutando el 84.0%  del presupuesto para esta región, el Gobierno Regional un 29.8%  y de los gobiernos locales en conjunto que tienen una ejecución del 72.9%.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9"/>
    </row>
    <row r="10" spans="2:15" x14ac:dyDescent="0.25">
      <c r="B10" s="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9"/>
    </row>
    <row r="11" spans="2:15" x14ac:dyDescent="0.25">
      <c r="B11" s="7"/>
      <c r="C11" s="28"/>
      <c r="D11" s="28"/>
      <c r="E11" s="28"/>
      <c r="F11" s="2"/>
      <c r="G11" s="2"/>
      <c r="H11" s="2"/>
      <c r="I11" s="2"/>
      <c r="J11" s="2"/>
      <c r="K11" s="2"/>
      <c r="L11" s="28"/>
      <c r="M11" s="28"/>
      <c r="N11" s="28"/>
      <c r="O11" s="9"/>
    </row>
    <row r="12" spans="2:15" x14ac:dyDescent="0.25">
      <c r="B12" s="7"/>
      <c r="C12" s="28"/>
      <c r="E12" s="114" t="s">
        <v>43</v>
      </c>
      <c r="F12" s="115"/>
      <c r="G12" s="115"/>
      <c r="H12" s="115"/>
      <c r="I12" s="115"/>
      <c r="J12" s="115"/>
      <c r="K12" s="115"/>
      <c r="L12" s="115"/>
      <c r="M12" s="28"/>
      <c r="N12" s="28"/>
      <c r="O12" s="9"/>
    </row>
    <row r="13" spans="2:15" x14ac:dyDescent="0.25">
      <c r="B13" s="7"/>
      <c r="C13" s="28"/>
      <c r="E13" s="116" t="s">
        <v>12</v>
      </c>
      <c r="F13" s="116"/>
      <c r="G13" s="116"/>
      <c r="H13" s="116"/>
      <c r="I13" s="116"/>
      <c r="J13" s="116"/>
      <c r="K13" s="116"/>
      <c r="L13" s="116"/>
      <c r="M13" s="28"/>
      <c r="N13" s="28"/>
      <c r="O13" s="9"/>
    </row>
    <row r="14" spans="2:15" x14ac:dyDescent="0.25">
      <c r="B14" s="7"/>
      <c r="C14" s="2"/>
      <c r="E14" s="117" t="s">
        <v>11</v>
      </c>
      <c r="F14" s="118"/>
      <c r="G14" s="122">
        <v>2016</v>
      </c>
      <c r="H14" s="122"/>
      <c r="I14" s="122"/>
      <c r="J14" s="122">
        <v>2015</v>
      </c>
      <c r="K14" s="122"/>
      <c r="L14" s="122"/>
      <c r="M14" s="2"/>
      <c r="N14" s="2"/>
      <c r="O14" s="10"/>
    </row>
    <row r="15" spans="2:15" x14ac:dyDescent="0.25">
      <c r="B15" s="7"/>
      <c r="C15" s="2"/>
      <c r="E15" s="119"/>
      <c r="F15" s="120"/>
      <c r="G15" s="88" t="s">
        <v>6</v>
      </c>
      <c r="H15" s="88" t="s">
        <v>7</v>
      </c>
      <c r="I15" s="88" t="s">
        <v>8</v>
      </c>
      <c r="J15" s="88" t="s">
        <v>6</v>
      </c>
      <c r="K15" s="88" t="s">
        <v>7</v>
      </c>
      <c r="L15" s="88" t="s">
        <v>8</v>
      </c>
      <c r="M15" s="2"/>
      <c r="N15" s="88" t="s">
        <v>61</v>
      </c>
      <c r="O15" s="10"/>
    </row>
    <row r="16" spans="2:15" x14ac:dyDescent="0.25">
      <c r="B16" s="7"/>
      <c r="C16" s="16"/>
      <c r="D16" s="95" t="str">
        <f>+FIXED(I16*100,1)</f>
        <v>84.0</v>
      </c>
      <c r="E16" s="62" t="s">
        <v>9</v>
      </c>
      <c r="F16" s="31"/>
      <c r="G16" s="56">
        <f>+H81</f>
        <v>351.51943799999998</v>
      </c>
      <c r="H16" s="56">
        <f>+J81</f>
        <v>295.16145399999999</v>
      </c>
      <c r="I16" s="57">
        <f>+H16/G16</f>
        <v>0.83967320748845764</v>
      </c>
      <c r="J16" s="58">
        <v>51.462885999999997</v>
      </c>
      <c r="K16" s="58">
        <v>33.553840000000001</v>
      </c>
      <c r="L16" s="59">
        <f t="shared" ref="L16:L19" si="0">+K16/J16</f>
        <v>0.65200074476973569</v>
      </c>
      <c r="N16" s="58">
        <f>+(I16-L16)*100</f>
        <v>18.767246271872196</v>
      </c>
      <c r="O16" s="10"/>
    </row>
    <row r="17" spans="2:15" x14ac:dyDescent="0.25">
      <c r="B17" s="7"/>
      <c r="C17" s="16"/>
      <c r="D17" s="95" t="str">
        <f t="shared" ref="D17:D19" si="1">+FIXED(I17*100,1)</f>
        <v>29.8</v>
      </c>
      <c r="E17" s="62" t="s">
        <v>10</v>
      </c>
      <c r="F17" s="31"/>
      <c r="G17" s="56">
        <f>+H130</f>
        <v>139.46564799999999</v>
      </c>
      <c r="H17" s="56">
        <f>+J130</f>
        <v>41.524927999999996</v>
      </c>
      <c r="I17" s="57">
        <f t="shared" ref="I17:I19" si="2">+H17/G17</f>
        <v>0.29774305426093167</v>
      </c>
      <c r="J17" s="58">
        <v>92.580653999999996</v>
      </c>
      <c r="K17" s="58">
        <v>70.574127000000004</v>
      </c>
      <c r="L17" s="59">
        <f t="shared" si="0"/>
        <v>0.76229885997564895</v>
      </c>
      <c r="N17" s="58">
        <f t="shared" ref="N17:N19" si="3">+(I17-L17)*100</f>
        <v>-46.455580571471728</v>
      </c>
      <c r="O17" s="10"/>
    </row>
    <row r="18" spans="2:15" x14ac:dyDescent="0.25">
      <c r="B18" s="7"/>
      <c r="C18" s="16"/>
      <c r="D18" s="95" t="str">
        <f t="shared" si="1"/>
        <v>72.9</v>
      </c>
      <c r="E18" s="62" t="s">
        <v>5</v>
      </c>
      <c r="F18" s="31"/>
      <c r="G18" s="56">
        <f>+H179</f>
        <v>283.23696999999999</v>
      </c>
      <c r="H18" s="56">
        <f>+J179</f>
        <v>206.47449399999999</v>
      </c>
      <c r="I18" s="57">
        <f t="shared" si="2"/>
        <v>0.72898143911086188</v>
      </c>
      <c r="J18" s="58">
        <v>310.03708799999998</v>
      </c>
      <c r="K18" s="58">
        <v>242.94969800000001</v>
      </c>
      <c r="L18" s="59">
        <f t="shared" si="0"/>
        <v>0.78361495254400027</v>
      </c>
      <c r="N18" s="58">
        <f t="shared" si="3"/>
        <v>-5.4633513433138381</v>
      </c>
      <c r="O18" s="10"/>
    </row>
    <row r="19" spans="2:15" x14ac:dyDescent="0.25">
      <c r="B19" s="7"/>
      <c r="C19" s="95" t="str">
        <f>+FIXED(H19,1)</f>
        <v>543.2</v>
      </c>
      <c r="D19" s="95" t="str">
        <f t="shared" si="1"/>
        <v>70.2</v>
      </c>
      <c r="E19" s="65" t="s">
        <v>0</v>
      </c>
      <c r="F19" s="41"/>
      <c r="G19" s="66">
        <f t="shared" ref="G19:H19" si="4">SUM(G16:G18)</f>
        <v>774.22205599999995</v>
      </c>
      <c r="H19" s="61">
        <f t="shared" si="4"/>
        <v>543.16087599999992</v>
      </c>
      <c r="I19" s="67">
        <f t="shared" si="2"/>
        <v>0.70155696520224164</v>
      </c>
      <c r="J19" s="66">
        <f t="shared" ref="J19:K19" si="5">SUM(J16:J18)</f>
        <v>454.08062799999999</v>
      </c>
      <c r="K19" s="66">
        <f t="shared" si="5"/>
        <v>347.07766500000002</v>
      </c>
      <c r="L19" s="67">
        <f t="shared" si="0"/>
        <v>0.76435250393460963</v>
      </c>
      <c r="N19" s="58">
        <f t="shared" si="3"/>
        <v>-6.2795538732367984</v>
      </c>
      <c r="O19" s="10"/>
    </row>
    <row r="20" spans="2:15" x14ac:dyDescent="0.25">
      <c r="B20" s="7"/>
      <c r="C20" s="2"/>
      <c r="E20" s="105" t="s">
        <v>92</v>
      </c>
      <c r="F20" s="105"/>
      <c r="G20" s="105"/>
      <c r="H20" s="105"/>
      <c r="I20" s="105"/>
      <c r="J20" s="105"/>
      <c r="K20" s="105"/>
      <c r="L20" s="105"/>
      <c r="M20" s="14"/>
      <c r="N20" s="2"/>
      <c r="O20" s="10"/>
    </row>
    <row r="21" spans="2:15" x14ac:dyDescent="0.25">
      <c r="B21" s="7"/>
      <c r="C21" s="2"/>
      <c r="D21" s="2"/>
      <c r="E21" s="2"/>
      <c r="F21" s="22"/>
      <c r="G21" s="2"/>
      <c r="H21" s="23"/>
      <c r="I21" s="23"/>
      <c r="J21" s="24"/>
      <c r="K21" s="24"/>
      <c r="L21" s="2"/>
      <c r="M21" s="14"/>
      <c r="N21" s="2"/>
      <c r="O21" s="10"/>
    </row>
    <row r="22" spans="2:15" ht="15" customHeight="1" x14ac:dyDescent="0.25">
      <c r="B22" s="7"/>
      <c r="C22" s="107" t="str">
        <f>+CONCATENATE("La ejecución de los proyectos productivos tiene un avance de ", E28, "%, mientras que para los proyectos del tipo social el avance es de", E29, "%. Cabe resaltar que estos dos tipos de proyectos absorben el ",  E30, "% del presupuesto total en esta región.")</f>
        <v>La ejecución de los proyectos productivos tiene un avance de 75.6%, mientras que para los proyectos del tipo social el avance es de53.3%. Cabe resaltar que estos dos tipos de proyectos absorben el 92.4% del presupuesto total en esta región.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"/>
    </row>
    <row r="23" spans="2:15" x14ac:dyDescent="0.25">
      <c r="B23" s="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"/>
    </row>
    <row r="24" spans="2:15" x14ac:dyDescent="0.25">
      <c r="B24" s="7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"/>
      <c r="N24" s="2"/>
      <c r="O24" s="10"/>
    </row>
    <row r="25" spans="2:15" x14ac:dyDescent="0.25">
      <c r="B25" s="7"/>
      <c r="C25" s="2"/>
      <c r="D25" s="2"/>
      <c r="E25" s="121" t="s">
        <v>40</v>
      </c>
      <c r="F25" s="121"/>
      <c r="G25" s="121"/>
      <c r="H25" s="121"/>
      <c r="I25" s="121"/>
      <c r="J25" s="121"/>
      <c r="K25" s="121"/>
      <c r="L25" s="121"/>
      <c r="M25" s="2"/>
      <c r="N25" s="2"/>
      <c r="O25" s="10"/>
    </row>
    <row r="26" spans="2:15" x14ac:dyDescent="0.25">
      <c r="B26" s="7"/>
      <c r="C26" s="2"/>
      <c r="D26" s="2"/>
      <c r="E26" s="21"/>
      <c r="F26" s="109" t="s">
        <v>1</v>
      </c>
      <c r="G26" s="109"/>
      <c r="H26" s="109"/>
      <c r="I26" s="109"/>
      <c r="J26" s="109"/>
      <c r="K26" s="109"/>
      <c r="L26" s="21"/>
      <c r="M26" s="2"/>
      <c r="N26" s="2"/>
      <c r="O26" s="10"/>
    </row>
    <row r="27" spans="2:15" x14ac:dyDescent="0.25">
      <c r="B27" s="7"/>
      <c r="C27" s="2"/>
      <c r="D27" s="2"/>
      <c r="E27" s="21"/>
      <c r="F27" s="112" t="s">
        <v>34</v>
      </c>
      <c r="G27" s="112"/>
      <c r="H27" s="50" t="s">
        <v>6</v>
      </c>
      <c r="I27" s="50" t="s">
        <v>16</v>
      </c>
      <c r="J27" s="50" t="s">
        <v>17</v>
      </c>
      <c r="K27" s="50" t="s">
        <v>18</v>
      </c>
      <c r="L27" s="21"/>
      <c r="M27" s="2"/>
      <c r="N27" s="2"/>
      <c r="O27" s="10"/>
    </row>
    <row r="28" spans="2:15" x14ac:dyDescent="0.25">
      <c r="B28" s="7"/>
      <c r="C28" s="2"/>
      <c r="D28" s="2"/>
      <c r="E28" s="95" t="str">
        <f>+FIXED(K28*100,1)</f>
        <v>75.6</v>
      </c>
      <c r="F28" s="30" t="s">
        <v>13</v>
      </c>
      <c r="G28" s="31"/>
      <c r="H28" s="83">
        <f>+H77+H126+H175</f>
        <v>556.01214100000004</v>
      </c>
      <c r="I28" s="32">
        <f>+H28/H$32</f>
        <v>0.71815590461556156</v>
      </c>
      <c r="J28" s="60">
        <f t="shared" ref="J28:J31" si="6">+J77+J126+J175</f>
        <v>420.44028100000003</v>
      </c>
      <c r="K28" s="32">
        <f>+J28/H28</f>
        <v>0.7561710437542406</v>
      </c>
      <c r="L28" s="21"/>
      <c r="M28" s="2"/>
      <c r="N28" s="2"/>
      <c r="O28" s="10"/>
    </row>
    <row r="29" spans="2:15" x14ac:dyDescent="0.25">
      <c r="B29" s="7"/>
      <c r="C29" s="2"/>
      <c r="D29" s="2"/>
      <c r="E29" s="95" t="str">
        <f>+FIXED(K29*100,1)</f>
        <v>53.3</v>
      </c>
      <c r="F29" s="30" t="s">
        <v>14</v>
      </c>
      <c r="G29" s="31"/>
      <c r="H29" s="60">
        <f t="shared" ref="H29:H31" si="7">+H78+H127+H176</f>
        <v>159.07731200000001</v>
      </c>
      <c r="I29" s="32">
        <f t="shared" ref="I29:I31" si="8">+H29/H$32</f>
        <v>0.20546729554808754</v>
      </c>
      <c r="J29" s="60">
        <f t="shared" si="6"/>
        <v>84.745580000000004</v>
      </c>
      <c r="K29" s="32">
        <f t="shared" ref="K29:K32" si="9">+J29/H29</f>
        <v>0.53273203409421455</v>
      </c>
      <c r="L29" s="21"/>
      <c r="M29" s="2"/>
      <c r="N29" s="2"/>
      <c r="O29" s="10"/>
    </row>
    <row r="30" spans="2:15" x14ac:dyDescent="0.25">
      <c r="B30" s="7"/>
      <c r="C30" s="2"/>
      <c r="D30" s="2"/>
      <c r="E30" s="95" t="str">
        <f>+FIXED((I28+I29)*100,1)</f>
        <v>92.4</v>
      </c>
      <c r="F30" s="30" t="s">
        <v>25</v>
      </c>
      <c r="G30" s="31"/>
      <c r="H30" s="60">
        <f t="shared" si="7"/>
        <v>24.083435000000001</v>
      </c>
      <c r="I30" s="32">
        <f t="shared" si="8"/>
        <v>3.1106624789826447E-2</v>
      </c>
      <c r="J30" s="60">
        <f t="shared" si="6"/>
        <v>15.318192999999999</v>
      </c>
      <c r="K30" s="32">
        <f t="shared" si="9"/>
        <v>0.63604685129010863</v>
      </c>
      <c r="L30" s="21"/>
      <c r="M30" s="2"/>
      <c r="N30" s="2"/>
      <c r="O30" s="10"/>
    </row>
    <row r="31" spans="2:15" x14ac:dyDescent="0.25">
      <c r="B31" s="7"/>
      <c r="C31" s="2"/>
      <c r="D31" s="2"/>
      <c r="E31" s="21"/>
      <c r="F31" s="30" t="s">
        <v>15</v>
      </c>
      <c r="G31" s="31"/>
      <c r="H31" s="60">
        <f t="shared" si="7"/>
        <v>35.049168000000002</v>
      </c>
      <c r="I31" s="32">
        <f t="shared" si="8"/>
        <v>4.5270175046524377E-2</v>
      </c>
      <c r="J31" s="60">
        <f t="shared" si="6"/>
        <v>22.656822000000002</v>
      </c>
      <c r="K31" s="32">
        <f t="shared" si="9"/>
        <v>0.64642966703232441</v>
      </c>
      <c r="L31" s="21"/>
      <c r="M31" s="2"/>
      <c r="N31" s="2"/>
      <c r="O31" s="10"/>
    </row>
    <row r="32" spans="2:15" x14ac:dyDescent="0.25">
      <c r="B32" s="7"/>
      <c r="C32" s="2"/>
      <c r="D32" s="2"/>
      <c r="E32" s="21"/>
      <c r="F32" s="40" t="s">
        <v>0</v>
      </c>
      <c r="G32" s="41"/>
      <c r="H32" s="66">
        <f>SUM(H28:H31)</f>
        <v>774.22205600000007</v>
      </c>
      <c r="I32" s="43">
        <f>SUM(I28:I31)</f>
        <v>0.99999999999999989</v>
      </c>
      <c r="J32" s="42">
        <f>SUM(J28:J31)</f>
        <v>543.16087600000003</v>
      </c>
      <c r="K32" s="43">
        <f t="shared" si="9"/>
        <v>0.70155696520224164</v>
      </c>
      <c r="L32" s="21"/>
      <c r="M32" s="2"/>
      <c r="N32" s="2"/>
      <c r="O32" s="10"/>
    </row>
    <row r="33" spans="2:15" x14ac:dyDescent="0.25">
      <c r="B33" s="7"/>
      <c r="C33" s="2"/>
      <c r="E33" s="21"/>
      <c r="F33" s="105" t="s">
        <v>93</v>
      </c>
      <c r="G33" s="105"/>
      <c r="H33" s="105"/>
      <c r="I33" s="105"/>
      <c r="J33" s="105"/>
      <c r="K33" s="105"/>
      <c r="L33" s="21"/>
      <c r="N33" s="2"/>
      <c r="O33" s="10"/>
    </row>
    <row r="34" spans="2:15" x14ac:dyDescent="0.25">
      <c r="B34" s="7"/>
      <c r="C34" s="2"/>
      <c r="E34" s="21"/>
      <c r="F34" s="21"/>
      <c r="G34" s="21"/>
      <c r="H34" s="36"/>
      <c r="I34" s="37"/>
      <c r="J34" s="36"/>
      <c r="K34" s="37"/>
      <c r="L34" s="21"/>
      <c r="N34" s="2"/>
      <c r="O34" s="10"/>
    </row>
    <row r="35" spans="2:15" ht="15" customHeight="1" x14ac:dyDescent="0.25">
      <c r="B35" s="7"/>
      <c r="C35" s="107" t="str">
        <f>+CONCATENATE("El sector ", F41," cuenta con el mayor presupuesto en esta región equivalente a ",  FIXED(I41*100,1),"% del presupuesto total, con un avance de ", FIXED(K41*100,1),"%.  El sector de ",   F42," es el segundo sector con mayor presupuesto equivalente al ", FIXED(I42*100,1),"% del total y con un avance del ",FIXED(K42*100,1),"% y el sector ",  F43, " con una ejecución del ", FIXED(K43*100,1),"%. Los 3 sectores concentran el ", FIXED(SUM(I41:I43)*100,1),"% del total presupuestado.")</f>
        <v>El sector TRANSPORTE cuenta con el mayor presupuesto en esta región equivalente a 53.8% del presupuesto total, con un avance de 84.3%.  El sector de AGROPECUARIA es el segundo sector con mayor presupuesto equivalente al 13.5% del total y con un avance del 43.7% y el sector EDUCACION con una ejecución del 63.0%. Los 3 sectores concentran el 76.9% del total presupuestado.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"/>
    </row>
    <row r="36" spans="2:15" x14ac:dyDescent="0.25">
      <c r="B36" s="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"/>
    </row>
    <row r="37" spans="2:15" x14ac:dyDescent="0.25">
      <c r="B37" s="7"/>
      <c r="C37" s="2"/>
      <c r="D37" s="21"/>
      <c r="E37" s="21"/>
      <c r="F37" s="21"/>
      <c r="G37" s="21"/>
      <c r="H37" s="35"/>
      <c r="I37" s="2"/>
      <c r="J37" s="2"/>
      <c r="K37" s="2"/>
      <c r="L37" s="2"/>
      <c r="M37" s="2"/>
      <c r="N37" s="2"/>
      <c r="O37" s="10"/>
    </row>
    <row r="38" spans="2:15" x14ac:dyDescent="0.25">
      <c r="B38" s="7"/>
      <c r="C38" s="2"/>
      <c r="D38" s="21"/>
      <c r="E38" s="108" t="s">
        <v>41</v>
      </c>
      <c r="F38" s="108"/>
      <c r="G38" s="108"/>
      <c r="H38" s="108"/>
      <c r="I38" s="108"/>
      <c r="J38" s="108"/>
      <c r="K38" s="108"/>
      <c r="L38" s="108"/>
      <c r="M38" s="2"/>
      <c r="N38" s="2"/>
      <c r="O38" s="10"/>
    </row>
    <row r="39" spans="2:15" x14ac:dyDescent="0.25">
      <c r="B39" s="7"/>
      <c r="C39" s="2"/>
      <c r="D39" s="21"/>
      <c r="E39" s="21"/>
      <c r="F39" s="109" t="s">
        <v>1</v>
      </c>
      <c r="G39" s="109"/>
      <c r="H39" s="109"/>
      <c r="I39" s="109"/>
      <c r="J39" s="109"/>
      <c r="K39" s="109"/>
      <c r="L39" s="21"/>
      <c r="M39" s="2"/>
      <c r="N39" s="2"/>
      <c r="O39" s="10"/>
    </row>
    <row r="40" spans="2:15" x14ac:dyDescent="0.25">
      <c r="B40" s="7"/>
      <c r="C40" s="2"/>
      <c r="D40" s="21"/>
      <c r="E40" s="2"/>
      <c r="F40" s="110" t="s">
        <v>22</v>
      </c>
      <c r="G40" s="111"/>
      <c r="H40" s="51" t="s">
        <v>20</v>
      </c>
      <c r="I40" s="51" t="s">
        <v>3</v>
      </c>
      <c r="J40" s="50" t="s">
        <v>21</v>
      </c>
      <c r="K40" s="50" t="s">
        <v>18</v>
      </c>
      <c r="L40" s="21"/>
      <c r="M40" s="2"/>
      <c r="N40" s="2"/>
      <c r="O40" s="10"/>
    </row>
    <row r="41" spans="2:15" x14ac:dyDescent="0.25">
      <c r="B41" s="7"/>
      <c r="C41" s="2"/>
      <c r="D41" s="21"/>
      <c r="E41" s="2"/>
      <c r="F41" s="30" t="s">
        <v>102</v>
      </c>
      <c r="G41" s="29"/>
      <c r="H41" s="34">
        <v>416.62160799999998</v>
      </c>
      <c r="I41" s="32">
        <f>+H41/H$49</f>
        <v>0.53811642896414713</v>
      </c>
      <c r="J41" s="34">
        <v>351.34594700000002</v>
      </c>
      <c r="K41" s="32">
        <f>+J41/H41</f>
        <v>0.84332147025845106</v>
      </c>
      <c r="L41" s="21"/>
      <c r="M41" s="2"/>
      <c r="N41" s="2"/>
      <c r="O41" s="10"/>
    </row>
    <row r="42" spans="2:15" x14ac:dyDescent="0.25">
      <c r="B42" s="7"/>
      <c r="C42" s="2"/>
      <c r="D42" s="21"/>
      <c r="E42" s="2"/>
      <c r="F42" s="30" t="s">
        <v>103</v>
      </c>
      <c r="G42" s="29"/>
      <c r="H42" s="34">
        <v>104.53921000000001</v>
      </c>
      <c r="I42" s="32">
        <f t="shared" ref="I42:I48" si="10">+H42/H$49</f>
        <v>0.13502484098696357</v>
      </c>
      <c r="J42" s="34">
        <v>45.647891000000001</v>
      </c>
      <c r="K42" s="32">
        <f t="shared" ref="K42:K49" si="11">+J42/H42</f>
        <v>0.43665808264669304</v>
      </c>
      <c r="L42" s="21"/>
      <c r="M42" s="2"/>
      <c r="N42" s="2"/>
      <c r="O42" s="10"/>
    </row>
    <row r="43" spans="2:15" x14ac:dyDescent="0.25">
      <c r="B43" s="7"/>
      <c r="C43" s="2"/>
      <c r="D43" s="21"/>
      <c r="E43" s="2"/>
      <c r="F43" s="30" t="s">
        <v>104</v>
      </c>
      <c r="G43" s="29"/>
      <c r="H43" s="34">
        <v>74.545008999999993</v>
      </c>
      <c r="I43" s="32">
        <f t="shared" si="10"/>
        <v>9.6283757899038702E-2</v>
      </c>
      <c r="J43" s="34">
        <v>46.969305000000006</v>
      </c>
      <c r="K43" s="32">
        <f t="shared" si="11"/>
        <v>0.63007980856236812</v>
      </c>
      <c r="L43" s="21"/>
      <c r="M43" s="2"/>
      <c r="N43" s="2"/>
      <c r="O43" s="10"/>
    </row>
    <row r="44" spans="2:15" x14ac:dyDescent="0.25">
      <c r="B44" s="7"/>
      <c r="C44" s="2"/>
      <c r="D44" s="21"/>
      <c r="E44" s="2"/>
      <c r="F44" s="30" t="s">
        <v>110</v>
      </c>
      <c r="G44" s="29"/>
      <c r="H44" s="34">
        <v>43.574279000000004</v>
      </c>
      <c r="I44" s="32">
        <f t="shared" si="10"/>
        <v>5.6281371296918979E-2</v>
      </c>
      <c r="J44" s="34">
        <v>14.621565</v>
      </c>
      <c r="K44" s="32">
        <f t="shared" si="11"/>
        <v>0.33555494974454997</v>
      </c>
      <c r="L44" s="21"/>
      <c r="M44" s="2"/>
      <c r="N44" s="2"/>
      <c r="O44" s="10"/>
    </row>
    <row r="45" spans="2:15" x14ac:dyDescent="0.25">
      <c r="B45" s="7"/>
      <c r="C45" s="2"/>
      <c r="D45" s="21"/>
      <c r="E45" s="2"/>
      <c r="F45" s="30" t="s">
        <v>111</v>
      </c>
      <c r="G45" s="29"/>
      <c r="H45" s="34">
        <v>35.049168000000002</v>
      </c>
      <c r="I45" s="32">
        <f t="shared" si="10"/>
        <v>4.5270175046524377E-2</v>
      </c>
      <c r="J45" s="34">
        <v>22.656822000000002</v>
      </c>
      <c r="K45" s="32">
        <f t="shared" si="11"/>
        <v>0.64642966703232441</v>
      </c>
      <c r="L45" s="21"/>
      <c r="M45" s="2"/>
      <c r="N45" s="2"/>
      <c r="O45" s="10"/>
    </row>
    <row r="46" spans="2:15" x14ac:dyDescent="0.25">
      <c r="B46" s="7"/>
      <c r="C46" s="2"/>
      <c r="D46" s="21"/>
      <c r="E46" s="2"/>
      <c r="F46" s="30" t="s">
        <v>106</v>
      </c>
      <c r="G46" s="29"/>
      <c r="H46" s="34">
        <v>23.975632000000001</v>
      </c>
      <c r="I46" s="32">
        <f t="shared" si="10"/>
        <v>3.0967384375316737E-2</v>
      </c>
      <c r="J46" s="34">
        <v>15.230089</v>
      </c>
      <c r="K46" s="32">
        <f t="shared" si="11"/>
        <v>0.63523201390478456</v>
      </c>
      <c r="L46" s="21"/>
      <c r="M46" s="2"/>
      <c r="N46" s="2"/>
      <c r="O46" s="10"/>
    </row>
    <row r="47" spans="2:15" x14ac:dyDescent="0.25">
      <c r="B47" s="7"/>
      <c r="C47" s="2"/>
      <c r="D47" s="21"/>
      <c r="E47" s="2"/>
      <c r="F47" s="30" t="s">
        <v>113</v>
      </c>
      <c r="G47" s="29"/>
      <c r="H47" s="34">
        <v>16.723233</v>
      </c>
      <c r="I47" s="32">
        <f t="shared" si="10"/>
        <v>2.1600047260859744E-2</v>
      </c>
      <c r="J47" s="34">
        <v>12.468926999999999</v>
      </c>
      <c r="K47" s="32">
        <f t="shared" si="11"/>
        <v>0.74560505136775879</v>
      </c>
      <c r="L47" s="21"/>
      <c r="M47" s="2"/>
      <c r="N47" s="2"/>
      <c r="O47" s="10"/>
    </row>
    <row r="48" spans="2:15" x14ac:dyDescent="0.25">
      <c r="B48" s="7"/>
      <c r="C48" s="2"/>
      <c r="D48" s="21"/>
      <c r="E48" s="2"/>
      <c r="F48" s="30" t="s">
        <v>126</v>
      </c>
      <c r="G48" s="29"/>
      <c r="H48" s="34">
        <v>59.193916999999999</v>
      </c>
      <c r="I48" s="32">
        <f t="shared" si="10"/>
        <v>7.6455994170230662E-2</v>
      </c>
      <c r="J48" s="34">
        <v>34.220330000000011</v>
      </c>
      <c r="K48" s="32">
        <f t="shared" si="11"/>
        <v>0.5781055171598124</v>
      </c>
      <c r="L48" s="21"/>
      <c r="M48" s="2"/>
      <c r="N48" s="2"/>
      <c r="O48" s="10"/>
    </row>
    <row r="49" spans="2:15" x14ac:dyDescent="0.25">
      <c r="B49" s="7"/>
      <c r="C49" s="2"/>
      <c r="D49" s="21"/>
      <c r="E49" s="2"/>
      <c r="F49" s="40" t="s">
        <v>0</v>
      </c>
      <c r="G49" s="47"/>
      <c r="H49" s="66">
        <f>SUM(H41:H48)</f>
        <v>774.22205600000007</v>
      </c>
      <c r="I49" s="43">
        <f>SUM(I41:I48)</f>
        <v>0.99999999999999989</v>
      </c>
      <c r="J49" s="42">
        <f>SUM(J41:J48)</f>
        <v>543.16087600000003</v>
      </c>
      <c r="K49" s="43">
        <f t="shared" si="11"/>
        <v>0.70155696520224164</v>
      </c>
      <c r="L49" s="21"/>
      <c r="M49" s="2"/>
      <c r="N49" s="2"/>
      <c r="O49" s="10"/>
    </row>
    <row r="50" spans="2:15" x14ac:dyDescent="0.25">
      <c r="B50" s="7"/>
      <c r="C50" s="2"/>
      <c r="E50" s="21"/>
      <c r="F50" s="105" t="s">
        <v>94</v>
      </c>
      <c r="G50" s="105"/>
      <c r="H50" s="105"/>
      <c r="I50" s="105"/>
      <c r="J50" s="105"/>
      <c r="K50" s="105"/>
      <c r="L50" s="21"/>
      <c r="N50" s="2"/>
      <c r="O50" s="10"/>
    </row>
    <row r="51" spans="2:15" x14ac:dyDescent="0.25">
      <c r="B51" s="7"/>
      <c r="C51" s="2"/>
      <c r="E51" s="21"/>
      <c r="M51" s="2"/>
      <c r="N51" s="2"/>
      <c r="O51" s="10"/>
    </row>
    <row r="52" spans="2:15" ht="15" customHeight="1" x14ac:dyDescent="0.25">
      <c r="B52" s="7"/>
      <c r="C52" s="107" t="str">
        <f>+CONCATENATE("Al 19 de diciembre figuran ",J58," proyectos que no cuentan con ningún avance en ejecución del gasto, mientras que ",J59," (",FIXED(K59*100,1),"% de proyectos) no superan el 50,0% de ejecución, ",J60," proyectos (",FIXED(K60*100,1),"%) tienen un nivel de ejecución mayor al 50,0% pero no culminan y ",J61," proyectos por S/ ",FIXED(I61,1)," millones se han ejecutado al 100,0%.")</f>
        <v>Al 19 de diciembre figuran 161 proyectos que no cuentan con ningún avance en ejecución del gasto, mientras que 97 (12.8% de proyectos) no superan el 50,0% de ejecución, 428 proyectos (56.3%) tienen un nivel de ejecución mayor al 50,0% pero no culminan y 74 proyectos por S/ 7.3 millones se han ejecutado al 100,0%.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"/>
    </row>
    <row r="53" spans="2:15" x14ac:dyDescent="0.25">
      <c r="B53" s="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"/>
    </row>
    <row r="54" spans="2:15" x14ac:dyDescent="0.25"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0"/>
    </row>
    <row r="55" spans="2:15" x14ac:dyDescent="0.25">
      <c r="B55" s="7"/>
      <c r="C55" s="2"/>
      <c r="D55" s="2"/>
      <c r="E55" s="108" t="s">
        <v>42</v>
      </c>
      <c r="F55" s="108"/>
      <c r="G55" s="108"/>
      <c r="H55" s="108"/>
      <c r="I55" s="108"/>
      <c r="J55" s="108"/>
      <c r="K55" s="108"/>
      <c r="L55" s="108"/>
      <c r="M55" s="2"/>
      <c r="N55" s="2"/>
      <c r="O55" s="10"/>
    </row>
    <row r="56" spans="2:15" x14ac:dyDescent="0.25">
      <c r="B56" s="7"/>
      <c r="C56" s="2"/>
      <c r="D56" s="2"/>
      <c r="E56" s="21"/>
      <c r="F56" s="109" t="s">
        <v>36</v>
      </c>
      <c r="G56" s="109"/>
      <c r="H56" s="109"/>
      <c r="I56" s="109"/>
      <c r="J56" s="109"/>
      <c r="K56" s="109"/>
      <c r="L56" s="21"/>
      <c r="M56" s="2"/>
      <c r="N56" s="2"/>
      <c r="O56" s="10"/>
    </row>
    <row r="57" spans="2:15" x14ac:dyDescent="0.25">
      <c r="B57" s="7"/>
      <c r="C57" s="2"/>
      <c r="D57" s="2"/>
      <c r="E57" s="2"/>
      <c r="F57" s="49" t="s">
        <v>27</v>
      </c>
      <c r="G57" s="50" t="s">
        <v>18</v>
      </c>
      <c r="H57" s="50" t="s">
        <v>20</v>
      </c>
      <c r="I57" s="50" t="s">
        <v>7</v>
      </c>
      <c r="J57" s="50" t="s">
        <v>26</v>
      </c>
      <c r="K57" s="50" t="s">
        <v>3</v>
      </c>
      <c r="L57" s="2"/>
      <c r="M57" s="86" t="s">
        <v>47</v>
      </c>
      <c r="N57" s="2"/>
      <c r="O57" s="10"/>
    </row>
    <row r="58" spans="2:15" x14ac:dyDescent="0.25">
      <c r="B58" s="7"/>
      <c r="C58" s="2"/>
      <c r="D58" s="2"/>
      <c r="E58" s="2"/>
      <c r="F58" s="44" t="s">
        <v>28</v>
      </c>
      <c r="G58" s="32">
        <f>+I58/H58</f>
        <v>0</v>
      </c>
      <c r="H58" s="60">
        <f>+H107+H156+H205</f>
        <v>44.882574000000005</v>
      </c>
      <c r="I58" s="60">
        <f t="shared" ref="I58:J58" si="12">+I107+I156+I205</f>
        <v>0</v>
      </c>
      <c r="J58" s="63">
        <f t="shared" si="12"/>
        <v>161</v>
      </c>
      <c r="K58" s="32">
        <f>+J58/J$62</f>
        <v>0.21184210526315789</v>
      </c>
      <c r="L58" s="2"/>
      <c r="M58" s="82">
        <f>SUM(J59:J61)</f>
        <v>599</v>
      </c>
      <c r="N58" s="2"/>
      <c r="O58" s="10"/>
    </row>
    <row r="59" spans="2:15" x14ac:dyDescent="0.25">
      <c r="B59" s="7"/>
      <c r="C59" s="2"/>
      <c r="D59" s="2"/>
      <c r="E59" s="2"/>
      <c r="F59" s="44" t="s">
        <v>29</v>
      </c>
      <c r="G59" s="32">
        <f t="shared" ref="G59:G62" si="13">+I59/H59</f>
        <v>0.19750644909692905</v>
      </c>
      <c r="H59" s="60">
        <f t="shared" ref="H59:J61" si="14">+H108+H157+H206</f>
        <v>164.14856399999999</v>
      </c>
      <c r="I59" s="60">
        <f t="shared" si="14"/>
        <v>32.420400000000001</v>
      </c>
      <c r="J59" s="63">
        <f t="shared" si="14"/>
        <v>97</v>
      </c>
      <c r="K59" s="32">
        <f t="shared" ref="K59:K61" si="15">+J59/J$62</f>
        <v>0.12763157894736843</v>
      </c>
      <c r="L59" s="2"/>
      <c r="M59" s="2"/>
      <c r="N59" s="2"/>
      <c r="O59" s="10"/>
    </row>
    <row r="60" spans="2:15" x14ac:dyDescent="0.25">
      <c r="B60" s="7"/>
      <c r="C60" s="2"/>
      <c r="D60" s="2"/>
      <c r="E60" s="2"/>
      <c r="F60" s="44" t="s">
        <v>30</v>
      </c>
      <c r="G60" s="32">
        <f t="shared" si="13"/>
        <v>0.90239932463244443</v>
      </c>
      <c r="H60" s="60">
        <f t="shared" si="14"/>
        <v>557.88999200000012</v>
      </c>
      <c r="I60" s="60">
        <f t="shared" si="14"/>
        <v>503.43955199999994</v>
      </c>
      <c r="J60" s="63">
        <f t="shared" si="14"/>
        <v>428</v>
      </c>
      <c r="K60" s="32">
        <f t="shared" si="15"/>
        <v>0.56315789473684208</v>
      </c>
      <c r="L60" s="2"/>
      <c r="M60" s="2"/>
      <c r="N60" s="2"/>
      <c r="O60" s="10"/>
    </row>
    <row r="61" spans="2:15" x14ac:dyDescent="0.25">
      <c r="B61" s="7"/>
      <c r="C61" s="2"/>
      <c r="D61" s="2"/>
      <c r="E61" s="2"/>
      <c r="F61" s="44" t="s">
        <v>31</v>
      </c>
      <c r="G61" s="32">
        <f t="shared" si="13"/>
        <v>1</v>
      </c>
      <c r="H61" s="60">
        <f t="shared" si="14"/>
        <v>7.3009259999999996</v>
      </c>
      <c r="I61" s="60">
        <f t="shared" si="14"/>
        <v>7.3009259999999996</v>
      </c>
      <c r="J61" s="63">
        <f t="shared" si="14"/>
        <v>74</v>
      </c>
      <c r="K61" s="32">
        <f t="shared" si="15"/>
        <v>9.7368421052631576E-2</v>
      </c>
      <c r="L61" s="2"/>
      <c r="M61" s="2"/>
      <c r="N61" s="2"/>
      <c r="O61" s="10"/>
    </row>
    <row r="62" spans="2:15" x14ac:dyDescent="0.25">
      <c r="B62" s="7"/>
      <c r="C62" s="2"/>
      <c r="D62" s="2"/>
      <c r="E62" s="2"/>
      <c r="F62" s="45" t="s">
        <v>0</v>
      </c>
      <c r="G62" s="43">
        <f t="shared" si="13"/>
        <v>0.7015569677854796</v>
      </c>
      <c r="H62" s="61">
        <f t="shared" ref="H62:J62" si="16">SUM(H58:H61)</f>
        <v>774.22205600000018</v>
      </c>
      <c r="I62" s="61">
        <f t="shared" si="16"/>
        <v>543.16087799999991</v>
      </c>
      <c r="J62" s="64">
        <f t="shared" si="16"/>
        <v>760</v>
      </c>
      <c r="K62" s="43">
        <f>SUM(K58:K61)</f>
        <v>1</v>
      </c>
      <c r="L62" s="2"/>
      <c r="M62" s="2"/>
      <c r="N62" s="2"/>
      <c r="O62" s="10"/>
    </row>
    <row r="63" spans="2:15" x14ac:dyDescent="0.25">
      <c r="B63" s="7"/>
      <c r="C63" s="2"/>
      <c r="E63" s="21"/>
      <c r="F63" s="105" t="s">
        <v>95</v>
      </c>
      <c r="G63" s="105"/>
      <c r="H63" s="105"/>
      <c r="I63" s="105"/>
      <c r="J63" s="105"/>
      <c r="K63" s="105"/>
      <c r="L63" s="21"/>
      <c r="N63" s="2"/>
      <c r="O63" s="10"/>
    </row>
    <row r="64" spans="2:15" x14ac:dyDescent="0.25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0"/>
    </row>
    <row r="65" spans="2:15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8" spans="2:15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2:15" x14ac:dyDescent="0.25">
      <c r="B69" s="7"/>
      <c r="C69" s="106" t="s">
        <v>19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8"/>
    </row>
    <row r="70" spans="2:15" ht="15" customHeight="1" x14ac:dyDescent="0.25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9"/>
    </row>
    <row r="71" spans="2:15" ht="15" customHeight="1" x14ac:dyDescent="0.25">
      <c r="B71" s="7"/>
      <c r="C71" s="123" t="str">
        <f>+CONCATENATE("Los proyectos del Gobierno Nacional en la región tienen una ejecución del ",FIXED(K81*100,1),"%, equivalente a S/ ",FIXED(J81,1)," millones de soles.")</f>
        <v>Los proyectos del Gobierno Nacional en la región tienen una ejecución del 84.0%, equivalente a S/ 295.2 millones de soles.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9"/>
    </row>
    <row r="72" spans="2:15" x14ac:dyDescent="0.25">
      <c r="B72" s="7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0"/>
    </row>
    <row r="73" spans="2:15" x14ac:dyDescent="0.25">
      <c r="B73" s="7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"/>
      <c r="N73" s="2"/>
      <c r="O73" s="10"/>
    </row>
    <row r="74" spans="2:15" x14ac:dyDescent="0.25">
      <c r="B74" s="7"/>
      <c r="C74" s="2"/>
      <c r="D74" s="2"/>
      <c r="E74" s="121" t="s">
        <v>24</v>
      </c>
      <c r="F74" s="121"/>
      <c r="G74" s="121"/>
      <c r="H74" s="121"/>
      <c r="I74" s="121"/>
      <c r="J74" s="121"/>
      <c r="K74" s="121"/>
      <c r="L74" s="121"/>
      <c r="M74" s="2"/>
      <c r="N74" s="2"/>
      <c r="O74" s="10"/>
    </row>
    <row r="75" spans="2:15" x14ac:dyDescent="0.25">
      <c r="B75" s="7"/>
      <c r="C75" s="2"/>
      <c r="D75" s="2"/>
      <c r="E75" s="21"/>
      <c r="F75" s="109" t="s">
        <v>1</v>
      </c>
      <c r="G75" s="109"/>
      <c r="H75" s="109"/>
      <c r="I75" s="109"/>
      <c r="J75" s="109"/>
      <c r="K75" s="109"/>
      <c r="L75" s="21"/>
      <c r="M75" s="2"/>
      <c r="N75" s="2"/>
      <c r="O75" s="10"/>
    </row>
    <row r="76" spans="2:15" x14ac:dyDescent="0.25">
      <c r="B76" s="7"/>
      <c r="C76" s="2"/>
      <c r="D76" s="2"/>
      <c r="E76" s="21"/>
      <c r="F76" s="112" t="s">
        <v>34</v>
      </c>
      <c r="G76" s="112"/>
      <c r="H76" s="50" t="s">
        <v>6</v>
      </c>
      <c r="I76" s="50" t="s">
        <v>16</v>
      </c>
      <c r="J76" s="50" t="s">
        <v>17</v>
      </c>
      <c r="K76" s="50" t="s">
        <v>18</v>
      </c>
      <c r="L76" s="21"/>
      <c r="M76" s="2"/>
      <c r="N76" s="2"/>
      <c r="O76" s="10"/>
    </row>
    <row r="77" spans="2:15" x14ac:dyDescent="0.25">
      <c r="B77" s="7"/>
      <c r="C77" s="2"/>
      <c r="D77" s="2"/>
      <c r="E77" s="21"/>
      <c r="F77" s="30" t="s">
        <v>13</v>
      </c>
      <c r="G77" s="31"/>
      <c r="H77" s="33">
        <v>297.54837600000002</v>
      </c>
      <c r="I77" s="32">
        <f>+H77/$H$81</f>
        <v>0.84646350623717159</v>
      </c>
      <c r="J77" s="34">
        <v>270.190653</v>
      </c>
      <c r="K77" s="32">
        <f>+J77/H77</f>
        <v>0.90805621805847125</v>
      </c>
      <c r="L77" s="21"/>
      <c r="M77" s="2"/>
      <c r="N77" s="2"/>
      <c r="O77" s="10"/>
    </row>
    <row r="78" spans="2:15" x14ac:dyDescent="0.25">
      <c r="B78" s="7"/>
      <c r="C78" s="2"/>
      <c r="D78" s="2"/>
      <c r="E78" s="21"/>
      <c r="F78" s="30" t="s">
        <v>14</v>
      </c>
      <c r="G78" s="31"/>
      <c r="H78" s="34">
        <v>49.548075999999995</v>
      </c>
      <c r="I78" s="32">
        <f>+H78/$H$81</f>
        <v>0.14095401461127732</v>
      </c>
      <c r="J78" s="34">
        <v>24.824777000000001</v>
      </c>
      <c r="K78" s="32">
        <f t="shared" ref="K78:K81" si="17">+J78/H78</f>
        <v>0.50102403572643273</v>
      </c>
      <c r="L78" s="21"/>
      <c r="M78" s="2"/>
      <c r="N78" s="2"/>
      <c r="O78" s="10"/>
    </row>
    <row r="79" spans="2:15" x14ac:dyDescent="0.25">
      <c r="B79" s="7"/>
      <c r="C79" s="2"/>
      <c r="D79" s="2"/>
      <c r="E79" s="21"/>
      <c r="F79" s="30" t="s">
        <v>25</v>
      </c>
      <c r="G79" s="31"/>
      <c r="H79" s="34">
        <v>4.2493319999999999</v>
      </c>
      <c r="I79" s="32">
        <f>+H79/$H$81</f>
        <v>1.2088469486003218E-2</v>
      </c>
      <c r="J79" s="34">
        <v>9.9333000000000005E-2</v>
      </c>
      <c r="K79" s="32">
        <f t="shared" si="17"/>
        <v>2.3376144768165914E-2</v>
      </c>
      <c r="L79" s="21"/>
      <c r="M79" s="2"/>
      <c r="N79" s="2"/>
      <c r="O79" s="10"/>
    </row>
    <row r="80" spans="2:15" x14ac:dyDescent="0.25">
      <c r="B80" s="7"/>
      <c r="C80" s="2"/>
      <c r="D80" s="2"/>
      <c r="E80" s="21"/>
      <c r="F80" s="30" t="s">
        <v>15</v>
      </c>
      <c r="G80" s="31"/>
      <c r="H80" s="34">
        <v>0.173654</v>
      </c>
      <c r="I80" s="32">
        <f>+H80/$H$81</f>
        <v>4.9400966554799736E-4</v>
      </c>
      <c r="J80" s="34">
        <v>4.6691000000000003E-2</v>
      </c>
      <c r="K80" s="32">
        <f t="shared" si="17"/>
        <v>0.26887373743190485</v>
      </c>
      <c r="L80" s="21"/>
      <c r="M80" s="2"/>
      <c r="N80" s="2"/>
      <c r="O80" s="10"/>
    </row>
    <row r="81" spans="2:15" x14ac:dyDescent="0.25">
      <c r="B81" s="7"/>
      <c r="C81" s="2"/>
      <c r="D81" s="2"/>
      <c r="E81" s="21"/>
      <c r="F81" s="40" t="s">
        <v>0</v>
      </c>
      <c r="G81" s="41"/>
      <c r="H81" s="42">
        <f>SUM(H77:H80)</f>
        <v>351.51943799999998</v>
      </c>
      <c r="I81" s="43">
        <f>+H81/$H$81</f>
        <v>1</v>
      </c>
      <c r="J81" s="42">
        <f>SUM(J77:J80)</f>
        <v>295.16145399999999</v>
      </c>
      <c r="K81" s="43">
        <f t="shared" si="17"/>
        <v>0.83967320748845764</v>
      </c>
      <c r="L81" s="21"/>
      <c r="M81" s="2"/>
      <c r="N81" s="2"/>
      <c r="O81" s="10"/>
    </row>
    <row r="82" spans="2:15" x14ac:dyDescent="0.25">
      <c r="B82" s="7"/>
      <c r="C82" s="2"/>
      <c r="E82" s="21"/>
      <c r="F82" s="105" t="s">
        <v>96</v>
      </c>
      <c r="G82" s="105"/>
      <c r="H82" s="105"/>
      <c r="I82" s="105"/>
      <c r="J82" s="105"/>
      <c r="K82" s="105"/>
      <c r="L82" s="21"/>
      <c r="N82" s="2"/>
      <c r="O82" s="10"/>
    </row>
    <row r="83" spans="2:15" x14ac:dyDescent="0.25">
      <c r="B83" s="7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"/>
      <c r="N83" s="2"/>
      <c r="O83" s="10"/>
    </row>
    <row r="84" spans="2:15" ht="15" customHeight="1" x14ac:dyDescent="0.25">
      <c r="B84" s="7"/>
      <c r="C84" s="123" t="str">
        <f>+CONCATENATE("El sector ", F90," cuenta con el mayor presupuesto del GN en esta región equivalente a ",  FIXED(I90*100,1),"% del presupuesto total, con un avance de ", FIXED(K90*100,1),"%.  El sector de ",   F91," es el segundo sector con mayor presupuesto equivalente al ", FIXED(I91*100,1),"% del total y con un avance del ",FIXED(K91*100,1),"%, en tanto el sector ",  F92, " tiene una ejecución del ", FIXED(K92*100,1),"%.")</f>
        <v>El sector TRANSPORTE cuenta con el mayor presupuesto del GN en esta región equivalente a 77.7% del presupuesto total, con un avance de 91.7%.  El sector de EDUCACION es el segundo sector con mayor presupuesto equivalente al 10.2% del total y con un avance del 69.4%, en tanto el sector AGROPECUARIA tiene una ejecución del 87.9%.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0"/>
    </row>
    <row r="85" spans="2:15" x14ac:dyDescent="0.25">
      <c r="B85" s="7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0"/>
    </row>
    <row r="86" spans="2:15" x14ac:dyDescent="0.25">
      <c r="B86" s="7"/>
      <c r="C86" s="2"/>
      <c r="D86" s="21"/>
      <c r="E86" s="21"/>
      <c r="F86" s="21"/>
      <c r="G86" s="21"/>
      <c r="H86" s="35"/>
      <c r="I86" s="2"/>
      <c r="J86" s="2"/>
      <c r="K86" s="2"/>
      <c r="L86" s="2"/>
      <c r="M86" s="2"/>
      <c r="N86" s="2"/>
      <c r="O86" s="10"/>
    </row>
    <row r="87" spans="2:15" x14ac:dyDescent="0.25">
      <c r="B87" s="7"/>
      <c r="C87" s="2"/>
      <c r="D87" s="21"/>
      <c r="E87" s="108" t="s">
        <v>23</v>
      </c>
      <c r="F87" s="108"/>
      <c r="G87" s="108"/>
      <c r="H87" s="108"/>
      <c r="I87" s="108"/>
      <c r="J87" s="108"/>
      <c r="K87" s="108"/>
      <c r="L87" s="108"/>
      <c r="M87" s="2"/>
      <c r="N87" s="2"/>
      <c r="O87" s="10"/>
    </row>
    <row r="88" spans="2:15" x14ac:dyDescent="0.25">
      <c r="B88" s="7"/>
      <c r="C88" s="2"/>
      <c r="D88" s="21"/>
      <c r="E88" s="21"/>
      <c r="F88" s="109" t="s">
        <v>1</v>
      </c>
      <c r="G88" s="109"/>
      <c r="H88" s="109"/>
      <c r="I88" s="109"/>
      <c r="J88" s="109"/>
      <c r="K88" s="109"/>
      <c r="L88" s="21"/>
      <c r="M88" s="2"/>
      <c r="N88" s="2"/>
      <c r="O88" s="10"/>
    </row>
    <row r="89" spans="2:15" x14ac:dyDescent="0.25">
      <c r="B89" s="7"/>
      <c r="C89" s="2"/>
      <c r="D89" s="21"/>
      <c r="E89" s="2"/>
      <c r="F89" s="110" t="s">
        <v>22</v>
      </c>
      <c r="G89" s="111"/>
      <c r="H89" s="51" t="s">
        <v>20</v>
      </c>
      <c r="I89" s="51" t="s">
        <v>3</v>
      </c>
      <c r="J89" s="50" t="s">
        <v>21</v>
      </c>
      <c r="K89" s="50" t="s">
        <v>18</v>
      </c>
      <c r="L89" s="21"/>
      <c r="M89" s="2"/>
      <c r="N89" s="2"/>
      <c r="O89" s="10"/>
    </row>
    <row r="90" spans="2:15" x14ac:dyDescent="0.25">
      <c r="B90" s="7"/>
      <c r="C90" s="2"/>
      <c r="D90" s="21"/>
      <c r="E90" s="2"/>
      <c r="F90" s="30" t="s">
        <v>102</v>
      </c>
      <c r="G90" s="29"/>
      <c r="H90" s="34">
        <v>273.30245200000002</v>
      </c>
      <c r="I90" s="32">
        <f t="shared" ref="I90:I97" si="18">+H90/$H$98</f>
        <v>0.7774888738869683</v>
      </c>
      <c r="J90" s="34">
        <v>250.725302</v>
      </c>
      <c r="K90" s="32">
        <f>+J90/H90</f>
        <v>0.91739133756472846</v>
      </c>
      <c r="L90" s="21"/>
      <c r="M90" s="2"/>
      <c r="N90" s="2"/>
      <c r="O90" s="10"/>
    </row>
    <row r="91" spans="2:15" x14ac:dyDescent="0.25">
      <c r="B91" s="7"/>
      <c r="C91" s="2"/>
      <c r="D91" s="21"/>
      <c r="E91" s="2"/>
      <c r="F91" s="30" t="s">
        <v>104</v>
      </c>
      <c r="G91" s="29"/>
      <c r="H91" s="34">
        <v>35.788021999999998</v>
      </c>
      <c r="I91" s="32">
        <f t="shared" si="18"/>
        <v>0.10180951074460921</v>
      </c>
      <c r="J91" s="34">
        <v>24.824777000000001</v>
      </c>
      <c r="K91" s="32">
        <f t="shared" ref="K91:K98" si="19">+J91/H91</f>
        <v>0.69366161113905656</v>
      </c>
      <c r="L91" s="21"/>
      <c r="M91" s="2"/>
      <c r="N91" s="2"/>
      <c r="O91" s="10"/>
    </row>
    <row r="92" spans="2:15" x14ac:dyDescent="0.25">
      <c r="B92" s="7"/>
      <c r="C92" s="2"/>
      <c r="D92" s="21"/>
      <c r="E92" s="2"/>
      <c r="F92" s="30" t="s">
        <v>103</v>
      </c>
      <c r="G92" s="29"/>
      <c r="H92" s="34">
        <v>19.060279000000001</v>
      </c>
      <c r="I92" s="32">
        <f t="shared" si="18"/>
        <v>5.4222546293442808E-2</v>
      </c>
      <c r="J92" s="34">
        <v>16.747914000000002</v>
      </c>
      <c r="K92" s="32">
        <f t="shared" si="19"/>
        <v>0.87868147155663356</v>
      </c>
      <c r="L92" s="21"/>
      <c r="M92" s="2"/>
      <c r="N92" s="2"/>
      <c r="O92" s="10"/>
    </row>
    <row r="93" spans="2:15" x14ac:dyDescent="0.25">
      <c r="B93" s="7"/>
      <c r="C93" s="2"/>
      <c r="D93" s="21"/>
      <c r="E93" s="2"/>
      <c r="F93" s="30" t="s">
        <v>110</v>
      </c>
      <c r="G93" s="29"/>
      <c r="H93" s="34">
        <v>13.760054</v>
      </c>
      <c r="I93" s="32">
        <f t="shared" si="18"/>
        <v>3.9144503866668102E-2</v>
      </c>
      <c r="J93" s="34">
        <v>0</v>
      </c>
      <c r="K93" s="32">
        <f t="shared" si="19"/>
        <v>0</v>
      </c>
      <c r="L93" s="21"/>
      <c r="M93" s="2"/>
      <c r="N93" s="2"/>
      <c r="O93" s="10"/>
    </row>
    <row r="94" spans="2:15" x14ac:dyDescent="0.25">
      <c r="B94" s="7"/>
      <c r="C94" s="2"/>
      <c r="D94" s="21"/>
      <c r="E94" s="2"/>
      <c r="F94" s="30" t="s">
        <v>106</v>
      </c>
      <c r="G94" s="29"/>
      <c r="H94" s="34">
        <v>4.1514379999999997</v>
      </c>
      <c r="I94" s="32">
        <f t="shared" si="18"/>
        <v>1.1809981330250076E-2</v>
      </c>
      <c r="J94" s="34">
        <v>1.1228999999999999E-2</v>
      </c>
      <c r="K94" s="32">
        <f t="shared" si="19"/>
        <v>2.7048458871359753E-3</v>
      </c>
      <c r="L94" s="21"/>
      <c r="M94" s="2"/>
      <c r="N94" s="2"/>
      <c r="O94" s="10"/>
    </row>
    <row r="95" spans="2:15" x14ac:dyDescent="0.25">
      <c r="B95" s="7"/>
      <c r="C95" s="2"/>
      <c r="D95" s="21"/>
      <c r="E95" s="2"/>
      <c r="F95" s="30" t="s">
        <v>105</v>
      </c>
      <c r="G95" s="29"/>
      <c r="H95" s="34">
        <v>2.700618</v>
      </c>
      <c r="I95" s="32">
        <f t="shared" si="18"/>
        <v>7.6826989009922114E-3</v>
      </c>
      <c r="J95" s="34">
        <v>1.279037</v>
      </c>
      <c r="K95" s="32">
        <f t="shared" si="19"/>
        <v>0.47360900356881275</v>
      </c>
      <c r="L95" s="21"/>
      <c r="M95" s="2"/>
      <c r="N95" s="2"/>
      <c r="O95" s="10"/>
    </row>
    <row r="96" spans="2:15" x14ac:dyDescent="0.25">
      <c r="B96" s="7"/>
      <c r="C96" s="2"/>
      <c r="D96" s="21"/>
      <c r="E96" s="2"/>
      <c r="F96" s="30" t="s">
        <v>119</v>
      </c>
      <c r="G96" s="29"/>
      <c r="H96" s="34">
        <v>1.4074519999999999</v>
      </c>
      <c r="I96" s="32">
        <f t="shared" si="18"/>
        <v>4.0039094509476307E-3</v>
      </c>
      <c r="J96" s="34">
        <v>0.61014699999999999</v>
      </c>
      <c r="K96" s="32">
        <f t="shared" si="19"/>
        <v>0.43351176452198725</v>
      </c>
      <c r="L96" s="21"/>
      <c r="M96" s="2"/>
      <c r="N96" s="2"/>
      <c r="O96" s="10"/>
    </row>
    <row r="97" spans="2:15" x14ac:dyDescent="0.25">
      <c r="B97" s="7"/>
      <c r="C97" s="2"/>
      <c r="D97" s="21"/>
      <c r="E97" s="2"/>
      <c r="F97" s="30" t="s">
        <v>62</v>
      </c>
      <c r="G97" s="29"/>
      <c r="H97" s="34">
        <v>1.3491229999999999</v>
      </c>
      <c r="I97" s="32">
        <f t="shared" si="18"/>
        <v>3.8379755261215447E-3</v>
      </c>
      <c r="J97" s="34">
        <v>0.9630479999999999</v>
      </c>
      <c r="K97" s="32">
        <f t="shared" si="19"/>
        <v>0.71383261570664791</v>
      </c>
      <c r="L97" s="21"/>
      <c r="M97" s="2"/>
      <c r="N97" s="2"/>
      <c r="O97" s="10"/>
    </row>
    <row r="98" spans="2:15" x14ac:dyDescent="0.25">
      <c r="B98" s="7"/>
      <c r="C98" s="2"/>
      <c r="D98" s="21"/>
      <c r="E98" s="2"/>
      <c r="F98" s="40" t="s">
        <v>0</v>
      </c>
      <c r="G98" s="47"/>
      <c r="H98" s="42">
        <f>SUM(H90:H97)</f>
        <v>351.51943800000004</v>
      </c>
      <c r="I98" s="43">
        <f>SUM(I90:I97)</f>
        <v>0.99999999999999989</v>
      </c>
      <c r="J98" s="42">
        <f>SUM(J90:J97)</f>
        <v>295.16145399999999</v>
      </c>
      <c r="K98" s="43">
        <f t="shared" si="19"/>
        <v>0.83967320748845742</v>
      </c>
      <c r="L98" s="21"/>
      <c r="M98" s="2"/>
      <c r="N98" s="2"/>
      <c r="O98" s="10"/>
    </row>
    <row r="99" spans="2:15" x14ac:dyDescent="0.25">
      <c r="B99" s="7"/>
      <c r="C99" s="2"/>
      <c r="E99" s="21"/>
      <c r="F99" s="105" t="s">
        <v>97</v>
      </c>
      <c r="G99" s="105"/>
      <c r="H99" s="105"/>
      <c r="I99" s="105"/>
      <c r="J99" s="105"/>
      <c r="K99" s="105"/>
      <c r="L99" s="21"/>
      <c r="N99" s="2"/>
      <c r="O99" s="10"/>
    </row>
    <row r="100" spans="2:15" x14ac:dyDescent="0.25">
      <c r="B100" s="7"/>
      <c r="C100" s="2"/>
      <c r="D100" s="21"/>
      <c r="E100" s="21"/>
      <c r="F100" s="36"/>
      <c r="G100" s="36"/>
      <c r="H100" s="21"/>
      <c r="I100" s="21"/>
      <c r="J100" s="21"/>
      <c r="K100" s="21"/>
      <c r="L100" s="21"/>
      <c r="M100" s="2"/>
      <c r="N100" s="2"/>
      <c r="O100" s="10"/>
    </row>
    <row r="101" spans="2:15" ht="15" customHeight="1" x14ac:dyDescent="0.25">
      <c r="B101" s="7"/>
      <c r="C101" s="123" t="str">
        <f>+CONCATENATE("Al 19 de diciembre figuran ",J107," proyectos que no cuentan con ningún avance en ejecución del gasto, mientras que ",J108," (",FIXED(K108*100,1),"% de proyectos) no superan el 50,0% de ejecución, ",J109," proyectos (",FIXED(K109*100,1),"%) tienen un nivel de ejecución mayor al 50,0% pero no culminan y solo ",J110," proyectos por S/ ",FIXED(I110,1)," millones se han ejecutado al 100,0%.")</f>
        <v>Al 19 de diciembre figuran 21 proyectos que no cuentan con ningún avance en ejecución del gasto, mientras que 10 (18.9% de proyectos) no superan el 50,0% de ejecución, 16 proyectos (30.2%) tienen un nivel de ejecución mayor al 50,0% pero no culminan y solo 6 proyectos por S/ 5.9 millones se han ejecutado al 100,0%.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0"/>
    </row>
    <row r="102" spans="2:15" x14ac:dyDescent="0.25">
      <c r="B102" s="7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0"/>
    </row>
    <row r="103" spans="2:15" x14ac:dyDescent="0.25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0"/>
    </row>
    <row r="104" spans="2:15" x14ac:dyDescent="0.25">
      <c r="B104" s="7"/>
      <c r="C104" s="2"/>
      <c r="D104" s="2"/>
      <c r="E104" s="108" t="s">
        <v>35</v>
      </c>
      <c r="F104" s="108"/>
      <c r="G104" s="108"/>
      <c r="H104" s="108"/>
      <c r="I104" s="108"/>
      <c r="J104" s="108"/>
      <c r="K104" s="108"/>
      <c r="L104" s="108"/>
      <c r="M104" s="2"/>
      <c r="N104" s="2"/>
      <c r="O104" s="10"/>
    </row>
    <row r="105" spans="2:15" x14ac:dyDescent="0.25">
      <c r="B105" s="7"/>
      <c r="C105" s="2"/>
      <c r="D105" s="2"/>
      <c r="E105" s="21"/>
      <c r="F105" s="109" t="s">
        <v>36</v>
      </c>
      <c r="G105" s="109"/>
      <c r="H105" s="109"/>
      <c r="I105" s="109"/>
      <c r="J105" s="109"/>
      <c r="K105" s="109"/>
      <c r="L105" s="21"/>
      <c r="M105" s="2"/>
      <c r="N105" s="2"/>
      <c r="O105" s="10"/>
    </row>
    <row r="106" spans="2:15" x14ac:dyDescent="0.25">
      <c r="B106" s="7"/>
      <c r="C106" s="2"/>
      <c r="D106" s="2"/>
      <c r="E106" s="2"/>
      <c r="F106" s="49" t="s">
        <v>27</v>
      </c>
      <c r="G106" s="50" t="s">
        <v>18</v>
      </c>
      <c r="H106" s="50" t="s">
        <v>20</v>
      </c>
      <c r="I106" s="50" t="s">
        <v>7</v>
      </c>
      <c r="J106" s="50" t="s">
        <v>26</v>
      </c>
      <c r="K106" s="50" t="s">
        <v>3</v>
      </c>
      <c r="L106" s="2"/>
      <c r="M106" s="2"/>
      <c r="N106" s="2"/>
      <c r="O106" s="10"/>
    </row>
    <row r="107" spans="2:15" x14ac:dyDescent="0.25">
      <c r="B107" s="7"/>
      <c r="C107" s="2"/>
      <c r="D107" s="2"/>
      <c r="E107" s="2"/>
      <c r="F107" s="44" t="s">
        <v>28</v>
      </c>
      <c r="G107" s="32">
        <f>+I107/H107</f>
        <v>0</v>
      </c>
      <c r="H107" s="34">
        <v>27.280654000000006</v>
      </c>
      <c r="I107" s="34">
        <v>0</v>
      </c>
      <c r="J107" s="44">
        <v>21</v>
      </c>
      <c r="K107" s="32">
        <f>+J107/$J$111</f>
        <v>0.39622641509433965</v>
      </c>
      <c r="L107" s="2"/>
      <c r="M107" s="2"/>
      <c r="N107" s="2"/>
      <c r="O107" s="10"/>
    </row>
    <row r="108" spans="2:15" x14ac:dyDescent="0.25">
      <c r="B108" s="7"/>
      <c r="C108" s="2"/>
      <c r="D108" s="2"/>
      <c r="E108" s="2"/>
      <c r="F108" s="44" t="s">
        <v>29</v>
      </c>
      <c r="G108" s="32">
        <f t="shared" ref="G108:G111" si="20">+I108/H108</f>
        <v>0.30732715405958294</v>
      </c>
      <c r="H108" s="34">
        <v>16.949241000000001</v>
      </c>
      <c r="I108" s="34">
        <v>5.2089619999999996</v>
      </c>
      <c r="J108" s="44">
        <v>10</v>
      </c>
      <c r="K108" s="32">
        <f>+J108/$J$111</f>
        <v>0.18867924528301888</v>
      </c>
      <c r="L108" s="2"/>
      <c r="M108" s="2"/>
      <c r="N108" s="2"/>
      <c r="O108" s="10"/>
    </row>
    <row r="109" spans="2:15" x14ac:dyDescent="0.25">
      <c r="B109" s="7"/>
      <c r="C109" s="2"/>
      <c r="D109" s="2"/>
      <c r="E109" s="2"/>
      <c r="F109" s="44" t="s">
        <v>30</v>
      </c>
      <c r="G109" s="32">
        <f t="shared" si="20"/>
        <v>0.94246798244588514</v>
      </c>
      <c r="H109" s="34">
        <v>301.3460980000001</v>
      </c>
      <c r="I109" s="34">
        <v>284.00904900000006</v>
      </c>
      <c r="J109" s="44">
        <v>16</v>
      </c>
      <c r="K109" s="32">
        <f>+J109/$J$111</f>
        <v>0.30188679245283018</v>
      </c>
      <c r="L109" s="2"/>
      <c r="M109" s="2"/>
      <c r="N109" s="2"/>
      <c r="O109" s="10"/>
    </row>
    <row r="110" spans="2:15" x14ac:dyDescent="0.25">
      <c r="B110" s="7"/>
      <c r="C110" s="2"/>
      <c r="D110" s="2"/>
      <c r="E110" s="2"/>
      <c r="F110" s="44" t="s">
        <v>31</v>
      </c>
      <c r="G110" s="32">
        <f t="shared" si="20"/>
        <v>1</v>
      </c>
      <c r="H110" s="34">
        <v>5.9434449999999996</v>
      </c>
      <c r="I110" s="34">
        <v>5.9434449999999996</v>
      </c>
      <c r="J110" s="44">
        <v>6</v>
      </c>
      <c r="K110" s="32">
        <f>+J110/$J$111</f>
        <v>0.11320754716981132</v>
      </c>
      <c r="L110" s="2"/>
      <c r="M110" s="2"/>
      <c r="N110" s="2"/>
      <c r="O110" s="10"/>
    </row>
    <row r="111" spans="2:15" x14ac:dyDescent="0.25">
      <c r="B111" s="7"/>
      <c r="C111" s="2"/>
      <c r="D111" s="2"/>
      <c r="E111" s="2"/>
      <c r="F111" s="45" t="s">
        <v>0</v>
      </c>
      <c r="G111" s="43">
        <f t="shared" si="20"/>
        <v>0.83967321317804322</v>
      </c>
      <c r="H111" s="42">
        <f t="shared" ref="H111:J111" si="21">SUM(H107:H110)</f>
        <v>351.51943800000009</v>
      </c>
      <c r="I111" s="42">
        <f t="shared" si="21"/>
        <v>295.16145600000004</v>
      </c>
      <c r="J111" s="45">
        <f t="shared" si="21"/>
        <v>53</v>
      </c>
      <c r="K111" s="43">
        <f>+J111/$J$111</f>
        <v>1</v>
      </c>
      <c r="L111" s="2"/>
      <c r="M111" s="2"/>
      <c r="N111" s="2"/>
      <c r="O111" s="10"/>
    </row>
    <row r="112" spans="2:15" x14ac:dyDescent="0.25">
      <c r="B112" s="7"/>
      <c r="C112" s="2"/>
      <c r="E112" s="21"/>
      <c r="F112" s="105" t="s">
        <v>98</v>
      </c>
      <c r="G112" s="105"/>
      <c r="H112" s="105"/>
      <c r="I112" s="105"/>
      <c r="J112" s="105"/>
      <c r="K112" s="105"/>
      <c r="L112" s="21"/>
      <c r="N112" s="2"/>
      <c r="O112" s="10"/>
    </row>
    <row r="113" spans="2:15" x14ac:dyDescent="0.25"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0"/>
    </row>
    <row r="114" spans="2:15" x14ac:dyDescent="0.25"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7" spans="2:15" x14ac:dyDescent="0.25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</row>
    <row r="118" spans="2:15" x14ac:dyDescent="0.25">
      <c r="B118" s="7"/>
      <c r="C118" s="106" t="s">
        <v>32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8"/>
    </row>
    <row r="119" spans="2:15" x14ac:dyDescent="0.25"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9"/>
    </row>
    <row r="120" spans="2:15" ht="15" customHeight="1" x14ac:dyDescent="0.25">
      <c r="B120" s="7"/>
      <c r="C120" s="123" t="str">
        <f>+CONCATENATE("Los proyectos del Gobierno Regional tienen una ejecución del ",FIXED(K130*100,1),"%, equivalente a S/ ",FIXED(J130,1)," millones de soles.")</f>
        <v>Los proyectos del Gobierno Regional tienen una ejecución del 29.8%, equivalente a S/ 41.5 millones de soles.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9"/>
    </row>
    <row r="121" spans="2:15" x14ac:dyDescent="0.25">
      <c r="B121" s="7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0"/>
    </row>
    <row r="122" spans="2:15" x14ac:dyDescent="0.25">
      <c r="B122" s="7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"/>
      <c r="N122" s="2"/>
      <c r="O122" s="10"/>
    </row>
    <row r="123" spans="2:15" x14ac:dyDescent="0.25">
      <c r="B123" s="7"/>
      <c r="C123" s="2"/>
      <c r="D123" s="2"/>
      <c r="E123" s="121" t="s">
        <v>37</v>
      </c>
      <c r="F123" s="121"/>
      <c r="G123" s="121"/>
      <c r="H123" s="121"/>
      <c r="I123" s="121"/>
      <c r="J123" s="121"/>
      <c r="K123" s="121"/>
      <c r="L123" s="121"/>
      <c r="M123" s="2"/>
      <c r="N123" s="2"/>
      <c r="O123" s="10"/>
    </row>
    <row r="124" spans="2:15" x14ac:dyDescent="0.25">
      <c r="B124" s="7"/>
      <c r="C124" s="2"/>
      <c r="D124" s="2"/>
      <c r="E124" s="21"/>
      <c r="F124" s="109" t="s">
        <v>1</v>
      </c>
      <c r="G124" s="109"/>
      <c r="H124" s="109"/>
      <c r="I124" s="109"/>
      <c r="J124" s="109"/>
      <c r="K124" s="109"/>
      <c r="L124" s="21"/>
      <c r="M124" s="2"/>
      <c r="N124" s="2"/>
      <c r="O124" s="10"/>
    </row>
    <row r="125" spans="2:15" x14ac:dyDescent="0.25">
      <c r="B125" s="7"/>
      <c r="C125" s="2"/>
      <c r="D125" s="2"/>
      <c r="E125" s="21"/>
      <c r="F125" s="112" t="s">
        <v>34</v>
      </c>
      <c r="G125" s="112"/>
      <c r="H125" s="50" t="s">
        <v>6</v>
      </c>
      <c r="I125" s="50" t="s">
        <v>16</v>
      </c>
      <c r="J125" s="50" t="s">
        <v>17</v>
      </c>
      <c r="K125" s="50" t="s">
        <v>18</v>
      </c>
      <c r="L125" s="21"/>
      <c r="M125" s="2"/>
      <c r="N125" s="2"/>
      <c r="O125" s="10"/>
    </row>
    <row r="126" spans="2:15" x14ac:dyDescent="0.25">
      <c r="B126" s="7"/>
      <c r="C126" s="2"/>
      <c r="D126" s="2"/>
      <c r="E126" s="21"/>
      <c r="F126" s="30" t="s">
        <v>13</v>
      </c>
      <c r="G126" s="31"/>
      <c r="H126" s="33">
        <v>91.530387000000005</v>
      </c>
      <c r="I126" s="32">
        <f>+H126/H$130</f>
        <v>0.65629341929419072</v>
      </c>
      <c r="J126" s="34">
        <v>21.858514999999997</v>
      </c>
      <c r="K126" s="32">
        <f>+J126/H126</f>
        <v>0.23881156538756901</v>
      </c>
      <c r="L126" s="21"/>
      <c r="M126" s="2"/>
      <c r="N126" s="2"/>
      <c r="O126" s="10"/>
    </row>
    <row r="127" spans="2:15" x14ac:dyDescent="0.25">
      <c r="B127" s="7"/>
      <c r="C127" s="2"/>
      <c r="D127" s="2"/>
      <c r="E127" s="21"/>
      <c r="F127" s="30" t="s">
        <v>14</v>
      </c>
      <c r="G127" s="31"/>
      <c r="H127" s="34">
        <v>42.127846000000005</v>
      </c>
      <c r="I127" s="32">
        <f t="shared" ref="I127:I129" si="22">+H127/H$130</f>
        <v>0.30206611164922853</v>
      </c>
      <c r="J127" s="34">
        <v>16.077470999999999</v>
      </c>
      <c r="K127" s="32">
        <f t="shared" ref="K127:K130" si="23">+J127/H127</f>
        <v>0.38163524904643825</v>
      </c>
      <c r="L127" s="21"/>
      <c r="M127" s="2"/>
      <c r="N127" s="2"/>
      <c r="O127" s="10"/>
    </row>
    <row r="128" spans="2:15" x14ac:dyDescent="0.25">
      <c r="B128" s="7"/>
      <c r="C128" s="2"/>
      <c r="D128" s="2"/>
      <c r="E128" s="21"/>
      <c r="F128" s="30" t="s">
        <v>25</v>
      </c>
      <c r="G128" s="31"/>
      <c r="H128" s="34">
        <v>1.6888E-2</v>
      </c>
      <c r="I128" s="32">
        <f t="shared" si="22"/>
        <v>1.2109075060548244E-4</v>
      </c>
      <c r="J128" s="34">
        <v>1.6E-2</v>
      </c>
      <c r="K128" s="32">
        <f t="shared" si="23"/>
        <v>0.94741828517290383</v>
      </c>
      <c r="L128" s="21"/>
      <c r="M128" s="2"/>
      <c r="N128" s="2"/>
      <c r="O128" s="10"/>
    </row>
    <row r="129" spans="2:15" x14ac:dyDescent="0.25">
      <c r="B129" s="7"/>
      <c r="C129" s="2"/>
      <c r="D129" s="2"/>
      <c r="E129" s="21"/>
      <c r="F129" s="30" t="s">
        <v>15</v>
      </c>
      <c r="G129" s="31"/>
      <c r="H129" s="34">
        <v>5.790527</v>
      </c>
      <c r="I129" s="32">
        <f t="shared" si="22"/>
        <v>4.1519378305975393E-2</v>
      </c>
      <c r="J129" s="34">
        <v>3.5729419999999998</v>
      </c>
      <c r="K129" s="32">
        <f t="shared" si="23"/>
        <v>0.61703226666588373</v>
      </c>
      <c r="L129" s="21"/>
      <c r="M129" s="2"/>
      <c r="N129" s="2"/>
      <c r="O129" s="10"/>
    </row>
    <row r="130" spans="2:15" x14ac:dyDescent="0.25">
      <c r="B130" s="7"/>
      <c r="C130" s="2"/>
      <c r="D130" s="2"/>
      <c r="E130" s="21"/>
      <c r="F130" s="40" t="s">
        <v>0</v>
      </c>
      <c r="G130" s="41"/>
      <c r="H130" s="42">
        <f>SUM(H126:H129)</f>
        <v>139.46564799999999</v>
      </c>
      <c r="I130" s="43">
        <f>SUM(I126:I129)</f>
        <v>1</v>
      </c>
      <c r="J130" s="42">
        <f>SUM(J126:J129)</f>
        <v>41.524927999999996</v>
      </c>
      <c r="K130" s="43">
        <f t="shared" si="23"/>
        <v>0.29774305426093167</v>
      </c>
      <c r="L130" s="21"/>
      <c r="M130" s="2"/>
      <c r="N130" s="2"/>
      <c r="O130" s="10"/>
    </row>
    <row r="131" spans="2:15" x14ac:dyDescent="0.25">
      <c r="B131" s="7"/>
      <c r="C131" s="2"/>
      <c r="E131" s="21"/>
      <c r="F131" s="105" t="s">
        <v>99</v>
      </c>
      <c r="G131" s="105"/>
      <c r="H131" s="105"/>
      <c r="I131" s="105"/>
      <c r="J131" s="105"/>
      <c r="K131" s="105"/>
      <c r="L131" s="21"/>
      <c r="N131" s="2"/>
      <c r="O131" s="10"/>
    </row>
    <row r="132" spans="2:15" x14ac:dyDescent="0.25">
      <c r="B132" s="7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"/>
      <c r="N132" s="2"/>
      <c r="O132" s="10"/>
    </row>
    <row r="133" spans="2:15" ht="15" customHeight="1" x14ac:dyDescent="0.25">
      <c r="B133" s="7"/>
      <c r="C133" s="123" t="str">
        <f>+CONCATENATE("El sector ", F139," cuenta con el mayor presupuesto del GR en esta región equivalente a ",  FIXED(I139*100,1),"% del presupuesto total, con un avance de ", FIXED(K139*100,1),"%.  El sector de ",   F140," es el segundo sector con mayor presupuesto equivalente al ", FIXED(I140*100,1),"% del total y con un avance del ",FIXED(K140*100,1),"%, en tanto el sector ",  F141, " tiene una ejecución del ", FIXED(K141*100,1),"%.")</f>
        <v>El sector AGROPECUARIA cuenta con el mayor presupuesto del GR en esta región equivalente a 44.7% del presupuesto total, con un avance de 19.1%.  El sector de EDUCACION es el segundo sector con mayor presupuesto equivalente al 17.8% del total y con un avance del 42.2%, en tanto el sector TRANSPORTE tiene una ejecución del 26.5%.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0"/>
    </row>
    <row r="134" spans="2:15" x14ac:dyDescent="0.25">
      <c r="B134" s="7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0"/>
    </row>
    <row r="135" spans="2:15" x14ac:dyDescent="0.25">
      <c r="B135" s="7"/>
      <c r="C135" s="2"/>
      <c r="D135" s="21"/>
      <c r="E135" s="21"/>
      <c r="F135" s="21"/>
      <c r="G135" s="21"/>
      <c r="H135" s="35"/>
      <c r="I135" s="2"/>
      <c r="J135" s="2"/>
      <c r="K135" s="2"/>
      <c r="L135" s="2"/>
      <c r="M135" s="2"/>
      <c r="N135" s="2"/>
      <c r="O135" s="10"/>
    </row>
    <row r="136" spans="2:15" x14ac:dyDescent="0.25">
      <c r="B136" s="7"/>
      <c r="C136" s="2"/>
      <c r="D136" s="21"/>
      <c r="E136" s="108" t="s">
        <v>23</v>
      </c>
      <c r="F136" s="108"/>
      <c r="G136" s="108"/>
      <c r="H136" s="108"/>
      <c r="I136" s="108"/>
      <c r="J136" s="108"/>
      <c r="K136" s="108"/>
      <c r="L136" s="108"/>
      <c r="M136" s="2"/>
      <c r="N136" s="2"/>
      <c r="O136" s="10"/>
    </row>
    <row r="137" spans="2:15" x14ac:dyDescent="0.25">
      <c r="B137" s="7"/>
      <c r="C137" s="2"/>
      <c r="D137" s="21"/>
      <c r="E137" s="21"/>
      <c r="F137" s="109" t="s">
        <v>1</v>
      </c>
      <c r="G137" s="109"/>
      <c r="H137" s="109"/>
      <c r="I137" s="109"/>
      <c r="J137" s="109"/>
      <c r="K137" s="109"/>
      <c r="L137" s="21"/>
      <c r="M137" s="2"/>
      <c r="N137" s="2"/>
      <c r="O137" s="10"/>
    </row>
    <row r="138" spans="2:15" x14ac:dyDescent="0.25">
      <c r="B138" s="7"/>
      <c r="C138" s="2"/>
      <c r="D138" s="21"/>
      <c r="E138" s="2"/>
      <c r="F138" s="112" t="s">
        <v>22</v>
      </c>
      <c r="G138" s="112"/>
      <c r="H138" s="50" t="s">
        <v>20</v>
      </c>
      <c r="I138" s="50" t="s">
        <v>3</v>
      </c>
      <c r="J138" s="50" t="s">
        <v>21</v>
      </c>
      <c r="K138" s="50" t="s">
        <v>18</v>
      </c>
      <c r="L138" s="21"/>
      <c r="M138" s="2"/>
      <c r="N138" s="2"/>
      <c r="O138" s="10"/>
    </row>
    <row r="139" spans="2:15" x14ac:dyDescent="0.25">
      <c r="B139" s="7"/>
      <c r="C139" s="2"/>
      <c r="D139" s="21"/>
      <c r="E139" s="2"/>
      <c r="F139" s="30" t="s">
        <v>103</v>
      </c>
      <c r="G139" s="29"/>
      <c r="H139" s="34">
        <v>62.276285000000001</v>
      </c>
      <c r="I139" s="32">
        <f>+H139/H$147</f>
        <v>0.4465349417083696</v>
      </c>
      <c r="J139" s="34">
        <v>11.881411</v>
      </c>
      <c r="K139" s="32">
        <f>+J139/H139</f>
        <v>0.19078548118276484</v>
      </c>
      <c r="L139" s="21"/>
      <c r="M139" s="2"/>
      <c r="N139" s="2"/>
      <c r="O139" s="10"/>
    </row>
    <row r="140" spans="2:15" x14ac:dyDescent="0.25">
      <c r="B140" s="7"/>
      <c r="C140" s="2"/>
      <c r="D140" s="21"/>
      <c r="E140" s="2"/>
      <c r="F140" s="30" t="s">
        <v>104</v>
      </c>
      <c r="G140" s="29"/>
      <c r="H140" s="34">
        <v>24.826066999999998</v>
      </c>
      <c r="I140" s="32">
        <f t="shared" ref="I140:I146" si="24">+H140/H$147</f>
        <v>0.17800847273874923</v>
      </c>
      <c r="J140" s="34">
        <v>10.471562</v>
      </c>
      <c r="K140" s="32">
        <f t="shared" ref="K140:K147" si="25">+J140/H140</f>
        <v>0.42179705710131216</v>
      </c>
      <c r="L140" s="21"/>
      <c r="M140" s="2"/>
      <c r="N140" s="2"/>
      <c r="O140" s="10"/>
    </row>
    <row r="141" spans="2:15" x14ac:dyDescent="0.25">
      <c r="B141" s="7"/>
      <c r="C141" s="2"/>
      <c r="D141" s="21"/>
      <c r="E141" s="2"/>
      <c r="F141" s="30" t="s">
        <v>102</v>
      </c>
      <c r="G141" s="29"/>
      <c r="H141" s="34">
        <v>23.311582999999999</v>
      </c>
      <c r="I141" s="32">
        <f t="shared" si="24"/>
        <v>0.16714928252439623</v>
      </c>
      <c r="J141" s="34">
        <v>6.1749489999999998</v>
      </c>
      <c r="K141" s="32">
        <f t="shared" si="25"/>
        <v>0.26488758828604647</v>
      </c>
      <c r="L141" s="21"/>
      <c r="M141" s="2"/>
      <c r="N141" s="2"/>
      <c r="O141" s="10"/>
    </row>
    <row r="142" spans="2:15" x14ac:dyDescent="0.25">
      <c r="B142" s="7"/>
      <c r="C142" s="2"/>
      <c r="D142" s="21"/>
      <c r="E142" s="2"/>
      <c r="F142" s="30" t="s">
        <v>109</v>
      </c>
      <c r="G142" s="29"/>
      <c r="H142" s="34">
        <v>14.106930999999999</v>
      </c>
      <c r="I142" s="32">
        <f t="shared" si="24"/>
        <v>0.10114986164908507</v>
      </c>
      <c r="J142" s="34">
        <v>3.8175699999999999</v>
      </c>
      <c r="K142" s="32">
        <f t="shared" si="25"/>
        <v>0.27061662100707801</v>
      </c>
      <c r="L142" s="21"/>
      <c r="M142" s="2"/>
      <c r="N142" s="2"/>
      <c r="O142" s="10"/>
    </row>
    <row r="143" spans="2:15" x14ac:dyDescent="0.25">
      <c r="B143" s="7"/>
      <c r="C143" s="2"/>
      <c r="D143" s="21"/>
      <c r="E143" s="2"/>
      <c r="F143" s="30" t="s">
        <v>111</v>
      </c>
      <c r="G143" s="29"/>
      <c r="H143" s="34">
        <v>5.790527</v>
      </c>
      <c r="I143" s="32">
        <f t="shared" si="24"/>
        <v>4.1519378305975387E-2</v>
      </c>
      <c r="J143" s="34">
        <v>3.5729419999999998</v>
      </c>
      <c r="K143" s="32">
        <f>+J143/H143</f>
        <v>0.61703226666588373</v>
      </c>
      <c r="L143" s="21"/>
      <c r="M143" s="2"/>
      <c r="N143" s="2"/>
      <c r="O143" s="10"/>
    </row>
    <row r="144" spans="2:15" x14ac:dyDescent="0.25">
      <c r="B144" s="7"/>
      <c r="C144" s="2"/>
      <c r="D144" s="21"/>
      <c r="E144" s="2"/>
      <c r="F144" s="30" t="s">
        <v>112</v>
      </c>
      <c r="G144" s="29"/>
      <c r="H144" s="34">
        <v>3.0024130000000002</v>
      </c>
      <c r="I144" s="32">
        <f t="shared" si="24"/>
        <v>2.1527975118288627E-2</v>
      </c>
      <c r="J144" s="34">
        <v>1.7909459999999999</v>
      </c>
      <c r="K144" s="32">
        <f t="shared" si="25"/>
        <v>0.59650221338636611</v>
      </c>
      <c r="L144" s="21"/>
      <c r="M144" s="2"/>
      <c r="N144" s="2"/>
      <c r="O144" s="10"/>
    </row>
    <row r="145" spans="2:15" x14ac:dyDescent="0.25">
      <c r="B145" s="7"/>
      <c r="C145" s="2"/>
      <c r="D145" s="21"/>
      <c r="E145" s="2"/>
      <c r="F145" s="30" t="s">
        <v>120</v>
      </c>
      <c r="G145" s="29"/>
      <c r="H145" s="34">
        <v>1.9247559999999999</v>
      </c>
      <c r="I145" s="32">
        <f t="shared" si="24"/>
        <v>1.3800932542184148E-2</v>
      </c>
      <c r="J145" s="34">
        <v>0.55922099999999997</v>
      </c>
      <c r="K145" s="32">
        <f t="shared" si="25"/>
        <v>0.29054124263023468</v>
      </c>
      <c r="L145" s="21"/>
      <c r="M145" s="2"/>
      <c r="N145" s="2"/>
      <c r="O145" s="10"/>
    </row>
    <row r="146" spans="2:15" x14ac:dyDescent="0.25">
      <c r="B146" s="7"/>
      <c r="C146" s="2"/>
      <c r="D146" s="21"/>
      <c r="E146" s="2"/>
      <c r="F146" s="30" t="s">
        <v>62</v>
      </c>
      <c r="G146" s="29"/>
      <c r="H146" s="34">
        <v>4.2270860000000008</v>
      </c>
      <c r="I146" s="32">
        <f t="shared" si="24"/>
        <v>3.0309155412951583E-2</v>
      </c>
      <c r="J146" s="34">
        <v>3.2563269999999997</v>
      </c>
      <c r="K146" s="32">
        <f t="shared" si="25"/>
        <v>0.77034794182091382</v>
      </c>
      <c r="L146" s="21"/>
      <c r="M146" s="2"/>
      <c r="N146" s="2"/>
      <c r="O146" s="10"/>
    </row>
    <row r="147" spans="2:15" x14ac:dyDescent="0.25">
      <c r="B147" s="7"/>
      <c r="C147" s="2"/>
      <c r="D147" s="21"/>
      <c r="E147" s="2"/>
      <c r="F147" s="40" t="s">
        <v>0</v>
      </c>
      <c r="G147" s="47"/>
      <c r="H147" s="42">
        <f>SUM(H139:H146)</f>
        <v>139.46564800000002</v>
      </c>
      <c r="I147" s="43">
        <f>SUM(I139:I146)</f>
        <v>0.99999999999999989</v>
      </c>
      <c r="J147" s="42">
        <f>SUM(J139:J146)</f>
        <v>41.524927999999989</v>
      </c>
      <c r="K147" s="43">
        <f t="shared" si="25"/>
        <v>0.29774305426093156</v>
      </c>
      <c r="L147" s="21"/>
      <c r="M147" s="2"/>
      <c r="N147" s="2"/>
      <c r="O147" s="10"/>
    </row>
    <row r="148" spans="2:15" x14ac:dyDescent="0.25">
      <c r="B148" s="7"/>
      <c r="C148" s="2"/>
      <c r="E148" s="21"/>
      <c r="F148" s="105" t="s">
        <v>96</v>
      </c>
      <c r="G148" s="105"/>
      <c r="H148" s="105"/>
      <c r="I148" s="105"/>
      <c r="J148" s="105"/>
      <c r="K148" s="105"/>
      <c r="L148" s="21"/>
      <c r="N148" s="2"/>
      <c r="O148" s="10"/>
    </row>
    <row r="149" spans="2:15" x14ac:dyDescent="0.25">
      <c r="B149" s="7"/>
      <c r="C149" s="2"/>
      <c r="D149" s="21"/>
      <c r="E149" s="21"/>
      <c r="F149" s="36"/>
      <c r="G149" s="36"/>
      <c r="H149" s="21"/>
      <c r="I149" s="21"/>
      <c r="J149" s="21"/>
      <c r="K149" s="21"/>
      <c r="L149" s="21"/>
      <c r="M149" s="2"/>
      <c r="N149" s="2"/>
      <c r="O149" s="10"/>
    </row>
    <row r="150" spans="2:15" ht="15" customHeight="1" x14ac:dyDescent="0.25">
      <c r="B150" s="7"/>
      <c r="C150" s="123" t="str">
        <f>+CONCATENATE("Al 19 de diciembre figuran ",J156," proyectos que no cuentan con ningún avance en ejecución del gasto, mientras que ",J157," (",FIXED(K157*100,1),"% de proyectos) no superan el 50,0% de ejecución, ",J158," proyectos (",FIXED(K158*100,1),"%) tienen un nivel de ejecución mayor al 50,0% pero no culminan y solo ",J159," proyectos por S/ ",FIXED(I159,1)," millones se han ejecutado al 100,0%.")</f>
        <v>Al 19 de diciembre figuran 29 proyectos que no cuentan con ningún avance en ejecución del gasto, mientras que 24 (19.0% de proyectos) no superan el 50,0% de ejecución, 67 proyectos (53.2%) tienen un nivel de ejecución mayor al 50,0% pero no culminan y solo 6 proyectos por S/ 0.3 millones se han ejecutado al 100,0%.</v>
      </c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0"/>
    </row>
    <row r="151" spans="2:15" x14ac:dyDescent="0.25">
      <c r="B151" s="7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0"/>
    </row>
    <row r="152" spans="2:15" x14ac:dyDescent="0.25"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0"/>
    </row>
    <row r="153" spans="2:15" x14ac:dyDescent="0.25">
      <c r="B153" s="7"/>
      <c r="C153" s="2"/>
      <c r="D153" s="2"/>
      <c r="E153" s="108" t="s">
        <v>35</v>
      </c>
      <c r="F153" s="108"/>
      <c r="G153" s="108"/>
      <c r="H153" s="108"/>
      <c r="I153" s="108"/>
      <c r="J153" s="108"/>
      <c r="K153" s="108"/>
      <c r="L153" s="108"/>
      <c r="M153" s="2"/>
      <c r="N153" s="2"/>
      <c r="O153" s="10"/>
    </row>
    <row r="154" spans="2:15" x14ac:dyDescent="0.25">
      <c r="B154" s="7"/>
      <c r="C154" s="2"/>
      <c r="D154" s="2"/>
      <c r="E154" s="21"/>
      <c r="F154" s="109" t="s">
        <v>36</v>
      </c>
      <c r="G154" s="109"/>
      <c r="H154" s="109"/>
      <c r="I154" s="109"/>
      <c r="J154" s="109"/>
      <c r="K154" s="109"/>
      <c r="L154" s="21"/>
      <c r="M154" s="2"/>
      <c r="N154" s="2"/>
      <c r="O154" s="10"/>
    </row>
    <row r="155" spans="2:15" x14ac:dyDescent="0.25">
      <c r="B155" s="7"/>
      <c r="C155" s="2"/>
      <c r="D155" s="2"/>
      <c r="E155" s="2"/>
      <c r="F155" s="49" t="s">
        <v>27</v>
      </c>
      <c r="G155" s="50" t="s">
        <v>18</v>
      </c>
      <c r="H155" s="50" t="s">
        <v>20</v>
      </c>
      <c r="I155" s="50" t="s">
        <v>7</v>
      </c>
      <c r="J155" s="50" t="s">
        <v>26</v>
      </c>
      <c r="K155" s="50" t="s">
        <v>3</v>
      </c>
      <c r="L155" s="2"/>
      <c r="M155" s="2"/>
      <c r="N155" s="2"/>
      <c r="O155" s="10"/>
    </row>
    <row r="156" spans="2:15" x14ac:dyDescent="0.25">
      <c r="B156" s="7"/>
      <c r="C156" s="2"/>
      <c r="D156" s="2"/>
      <c r="E156" s="2"/>
      <c r="F156" s="44" t="s">
        <v>28</v>
      </c>
      <c r="G156" s="32">
        <f>+I156/H156</f>
        <v>0</v>
      </c>
      <c r="H156" s="34">
        <v>5.016299000000001</v>
      </c>
      <c r="I156" s="34">
        <v>0</v>
      </c>
      <c r="J156" s="44">
        <v>29</v>
      </c>
      <c r="K156" s="32">
        <f>+J156/J$160</f>
        <v>0.23015873015873015</v>
      </c>
      <c r="L156" s="2"/>
      <c r="M156" s="2"/>
      <c r="N156" s="2"/>
      <c r="O156" s="10"/>
    </row>
    <row r="157" spans="2:15" x14ac:dyDescent="0.25">
      <c r="B157" s="7"/>
      <c r="C157" s="2"/>
      <c r="D157" s="2"/>
      <c r="E157" s="2"/>
      <c r="F157" s="44" t="s">
        <v>29</v>
      </c>
      <c r="G157" s="32">
        <f t="shared" ref="G157:G160" si="26">+I157/H157</f>
        <v>0.1282440936781086</v>
      </c>
      <c r="H157" s="34">
        <v>98.600111999999996</v>
      </c>
      <c r="I157" s="34">
        <v>12.644881999999999</v>
      </c>
      <c r="J157" s="44">
        <v>24</v>
      </c>
      <c r="K157" s="32">
        <f t="shared" ref="K157:K159" si="27">+J157/J$160</f>
        <v>0.19047619047619047</v>
      </c>
      <c r="L157" s="2"/>
      <c r="M157" s="2"/>
      <c r="N157" s="2"/>
      <c r="O157" s="10"/>
    </row>
    <row r="158" spans="2:15" x14ac:dyDescent="0.25">
      <c r="B158" s="7"/>
      <c r="C158" s="2"/>
      <c r="D158" s="2"/>
      <c r="E158" s="2"/>
      <c r="F158" s="44" t="s">
        <v>30</v>
      </c>
      <c r="G158" s="32">
        <f t="shared" si="26"/>
        <v>0.80401772234916902</v>
      </c>
      <c r="H158" s="34">
        <v>35.560297000000013</v>
      </c>
      <c r="I158" s="34">
        <v>28.591108999999999</v>
      </c>
      <c r="J158" s="44">
        <v>67</v>
      </c>
      <c r="K158" s="32">
        <f t="shared" si="27"/>
        <v>0.53174603174603174</v>
      </c>
      <c r="L158" s="2"/>
      <c r="M158" s="2"/>
      <c r="N158" s="2"/>
      <c r="O158" s="10"/>
    </row>
    <row r="159" spans="2:15" x14ac:dyDescent="0.25">
      <c r="B159" s="7"/>
      <c r="C159" s="2"/>
      <c r="D159" s="2"/>
      <c r="E159" s="2"/>
      <c r="F159" s="44" t="s">
        <v>31</v>
      </c>
      <c r="G159" s="32">
        <f t="shared" si="26"/>
        <v>1</v>
      </c>
      <c r="H159" s="34">
        <v>0.28893999999999997</v>
      </c>
      <c r="I159" s="34">
        <v>0.28893999999999997</v>
      </c>
      <c r="J159" s="44">
        <v>6</v>
      </c>
      <c r="K159" s="32">
        <f t="shared" si="27"/>
        <v>4.7619047619047616E-2</v>
      </c>
      <c r="L159" s="2"/>
      <c r="M159" s="2"/>
      <c r="N159" s="2"/>
      <c r="O159" s="10"/>
    </row>
    <row r="160" spans="2:15" x14ac:dyDescent="0.25">
      <c r="B160" s="7"/>
      <c r="C160" s="2"/>
      <c r="D160" s="2"/>
      <c r="E160" s="2"/>
      <c r="F160" s="45" t="s">
        <v>0</v>
      </c>
      <c r="G160" s="43">
        <f t="shared" si="26"/>
        <v>0.29774307577160497</v>
      </c>
      <c r="H160" s="42">
        <f t="shared" ref="H160:J160" si="28">SUM(H156:H159)</f>
        <v>139.46564800000002</v>
      </c>
      <c r="I160" s="42">
        <f t="shared" si="28"/>
        <v>41.524930999999995</v>
      </c>
      <c r="J160" s="45">
        <f t="shared" si="28"/>
        <v>126</v>
      </c>
      <c r="K160" s="43">
        <f>SUM(K156:K159)</f>
        <v>1</v>
      </c>
      <c r="L160" s="2"/>
      <c r="M160" s="2"/>
      <c r="N160" s="2"/>
      <c r="O160" s="10"/>
    </row>
    <row r="161" spans="2:15" x14ac:dyDescent="0.25">
      <c r="B161" s="7"/>
      <c r="C161" s="2"/>
      <c r="E161" s="21"/>
      <c r="F161" s="105" t="s">
        <v>93</v>
      </c>
      <c r="G161" s="105"/>
      <c r="H161" s="105"/>
      <c r="I161" s="105"/>
      <c r="J161" s="105"/>
      <c r="K161" s="105"/>
      <c r="L161" s="21"/>
      <c r="N161" s="2"/>
      <c r="O161" s="10"/>
    </row>
    <row r="162" spans="2:15" x14ac:dyDescent="0.25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0"/>
    </row>
    <row r="163" spans="2:15" x14ac:dyDescent="0.25"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6" spans="2:15" x14ac:dyDescent="0.25"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</row>
    <row r="167" spans="2:15" x14ac:dyDescent="0.25">
      <c r="B167" s="7"/>
      <c r="C167" s="106" t="s">
        <v>33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8"/>
    </row>
    <row r="168" spans="2:15" x14ac:dyDescent="0.25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</row>
    <row r="169" spans="2:15" ht="15" customHeight="1" x14ac:dyDescent="0.25">
      <c r="B169" s="7"/>
      <c r="C169" s="123" t="str">
        <f>+CONCATENATE("Los proyectos de los Gobierno Locales tienen una ejecución del ",FIXED(K179*100,1),"%, equivalente a S/ ",FIXED(J179,1)," millones de soles.")</f>
        <v>Los proyectos de los Gobierno Locales tienen una ejecución del 72.9%, equivalente a S/ 206.5 millones de soles.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9"/>
    </row>
    <row r="170" spans="2:15" x14ac:dyDescent="0.25">
      <c r="B170" s="7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0"/>
    </row>
    <row r="171" spans="2:15" x14ac:dyDescent="0.25">
      <c r="B171" s="7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"/>
      <c r="N171" s="2"/>
      <c r="O171" s="10"/>
    </row>
    <row r="172" spans="2:15" x14ac:dyDescent="0.25">
      <c r="B172" s="7"/>
      <c r="C172" s="2"/>
      <c r="D172" s="2"/>
      <c r="E172" s="121" t="s">
        <v>38</v>
      </c>
      <c r="F172" s="121"/>
      <c r="G172" s="121"/>
      <c r="H172" s="121"/>
      <c r="I172" s="121"/>
      <c r="J172" s="121"/>
      <c r="K172" s="121"/>
      <c r="L172" s="121"/>
      <c r="M172" s="2"/>
      <c r="N172" s="2"/>
      <c r="O172" s="10"/>
    </row>
    <row r="173" spans="2:15" x14ac:dyDescent="0.25">
      <c r="B173" s="7"/>
      <c r="C173" s="2"/>
      <c r="D173" s="2"/>
      <c r="E173" s="21"/>
      <c r="F173" s="109" t="s">
        <v>1</v>
      </c>
      <c r="G173" s="109"/>
      <c r="H173" s="109"/>
      <c r="I173" s="109"/>
      <c r="J173" s="109"/>
      <c r="K173" s="109"/>
      <c r="L173" s="21"/>
      <c r="M173" s="2"/>
      <c r="N173" s="2"/>
      <c r="O173" s="10"/>
    </row>
    <row r="174" spans="2:15" x14ac:dyDescent="0.25">
      <c r="B174" s="7"/>
      <c r="C174" s="2"/>
      <c r="D174" s="2"/>
      <c r="E174" s="21"/>
      <c r="F174" s="112" t="s">
        <v>34</v>
      </c>
      <c r="G174" s="112"/>
      <c r="H174" s="50" t="s">
        <v>6</v>
      </c>
      <c r="I174" s="50" t="s">
        <v>16</v>
      </c>
      <c r="J174" s="50" t="s">
        <v>17</v>
      </c>
      <c r="K174" s="50" t="s">
        <v>18</v>
      </c>
      <c r="L174" s="21"/>
      <c r="M174" s="2"/>
      <c r="N174" s="2"/>
      <c r="O174" s="10"/>
    </row>
    <row r="175" spans="2:15" x14ac:dyDescent="0.25">
      <c r="B175" s="7"/>
      <c r="C175" s="2"/>
      <c r="D175" s="2"/>
      <c r="E175" s="21"/>
      <c r="F175" s="30" t="s">
        <v>13</v>
      </c>
      <c r="G175" s="31"/>
      <c r="H175" s="33">
        <v>166.93337799999998</v>
      </c>
      <c r="I175" s="32">
        <f>+H175/H$179</f>
        <v>0.58937707884673385</v>
      </c>
      <c r="J175" s="34">
        <v>128.39111299999999</v>
      </c>
      <c r="K175" s="32">
        <f>+J175/H175</f>
        <v>0.76911588645860873</v>
      </c>
      <c r="L175" s="21"/>
      <c r="M175" s="2"/>
      <c r="N175" s="2"/>
      <c r="O175" s="10"/>
    </row>
    <row r="176" spans="2:15" x14ac:dyDescent="0.25">
      <c r="B176" s="7"/>
      <c r="C176" s="2"/>
      <c r="D176" s="2"/>
      <c r="E176" s="21"/>
      <c r="F176" s="30" t="s">
        <v>14</v>
      </c>
      <c r="G176" s="31"/>
      <c r="H176" s="34">
        <v>67.401389999999992</v>
      </c>
      <c r="I176" s="32">
        <f t="shared" ref="I176:I178" si="29">+H176/H$179</f>
        <v>0.23796819320585161</v>
      </c>
      <c r="J176" s="34">
        <v>43.843332000000004</v>
      </c>
      <c r="K176" s="32">
        <f t="shared" ref="K176:K179" si="30">+J176/H176</f>
        <v>0.6504811250925242</v>
      </c>
      <c r="L176" s="21"/>
      <c r="M176" s="2"/>
      <c r="N176" s="2"/>
      <c r="O176" s="10"/>
    </row>
    <row r="177" spans="2:15" x14ac:dyDescent="0.25">
      <c r="B177" s="7"/>
      <c r="C177" s="2"/>
      <c r="D177" s="2"/>
      <c r="E177" s="21"/>
      <c r="F177" s="30" t="s">
        <v>25</v>
      </c>
      <c r="G177" s="31"/>
      <c r="H177" s="34">
        <v>19.817215000000001</v>
      </c>
      <c r="I177" s="32">
        <f t="shared" si="29"/>
        <v>6.996690792166009E-2</v>
      </c>
      <c r="J177" s="34">
        <v>15.202859999999999</v>
      </c>
      <c r="K177" s="32">
        <f t="shared" si="30"/>
        <v>0.76715421415168572</v>
      </c>
      <c r="L177" s="21"/>
      <c r="M177" s="2"/>
      <c r="N177" s="2"/>
      <c r="O177" s="10"/>
    </row>
    <row r="178" spans="2:15" x14ac:dyDescent="0.25">
      <c r="B178" s="7"/>
      <c r="C178" s="2"/>
      <c r="D178" s="2"/>
      <c r="E178" s="21"/>
      <c r="F178" s="30" t="s">
        <v>15</v>
      </c>
      <c r="G178" s="31"/>
      <c r="H178" s="34">
        <v>29.084987000000002</v>
      </c>
      <c r="I178" s="32">
        <f t="shared" si="29"/>
        <v>0.10268782002575441</v>
      </c>
      <c r="J178" s="34">
        <v>19.037189000000001</v>
      </c>
      <c r="K178" s="32">
        <f t="shared" si="30"/>
        <v>0.65453661712140354</v>
      </c>
      <c r="L178" s="21"/>
      <c r="M178" s="2"/>
      <c r="N178" s="2"/>
      <c r="O178" s="10"/>
    </row>
    <row r="179" spans="2:15" x14ac:dyDescent="0.25">
      <c r="B179" s="7"/>
      <c r="C179" s="2"/>
      <c r="D179" s="2"/>
      <c r="E179" s="21"/>
      <c r="F179" s="40" t="s">
        <v>0</v>
      </c>
      <c r="G179" s="41"/>
      <c r="H179" s="42">
        <f>SUM(H175:H178)</f>
        <v>283.23696999999999</v>
      </c>
      <c r="I179" s="43">
        <f>SUM(I175:I178)</f>
        <v>0.99999999999999989</v>
      </c>
      <c r="J179" s="42">
        <f>SUM(J175:J178)</f>
        <v>206.47449399999999</v>
      </c>
      <c r="K179" s="43">
        <f t="shared" si="30"/>
        <v>0.72898143911086188</v>
      </c>
      <c r="L179" s="21"/>
      <c r="M179" s="2"/>
      <c r="N179" s="2"/>
      <c r="O179" s="10"/>
    </row>
    <row r="180" spans="2:15" x14ac:dyDescent="0.25">
      <c r="B180" s="7"/>
      <c r="C180" s="2"/>
      <c r="E180" s="21"/>
      <c r="F180" s="105" t="s">
        <v>100</v>
      </c>
      <c r="G180" s="105"/>
      <c r="H180" s="105"/>
      <c r="I180" s="105"/>
      <c r="J180" s="105"/>
      <c r="K180" s="105"/>
      <c r="L180" s="21"/>
      <c r="N180" s="2"/>
      <c r="O180" s="10"/>
    </row>
    <row r="181" spans="2:15" x14ac:dyDescent="0.25">
      <c r="B181" s="7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"/>
      <c r="N181" s="2"/>
      <c r="O181" s="10"/>
    </row>
    <row r="182" spans="2:15" ht="15" customHeight="1" x14ac:dyDescent="0.25">
      <c r="B182" s="7"/>
      <c r="C182" s="123" t="str">
        <f>+CONCATENATE("El sector ", F188," cuenta con el mayor presupuesto de los GL en consjunto en esta región equivalente a ",  FIXED(I188*100,1),"% del presupuesto total, con un avance de ", FIXED(K188*100,1),"%.  El sector de ",   F189," es el segundo sector con mayor presupuesto equivalente al ", FIXED(I189*100,1),"% del total y con un avance del ",FIXED(K189*100,1),"%, en tanto el sector ",  F190, " tiene una ejecución del ", FIXED(K190*100,1),"%.")</f>
        <v>El sector TRANSPORTE cuenta con el mayor presupuesto de los GL en consjunto en esta región equivalente a 42.4% del presupuesto total, con un avance de 78.7%.  El sector de SANEAMIENTO es el segundo sector con mayor presupuesto equivalente al 10.5% del total y con un avance del 49.0%, en tanto el sector PLANEAMIENTO, GESTION Y RESERVA DE CONTINGENCIA tiene una ejecución del 65.5%.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0"/>
    </row>
    <row r="183" spans="2:15" x14ac:dyDescent="0.25">
      <c r="B183" s="7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0"/>
    </row>
    <row r="184" spans="2:15" x14ac:dyDescent="0.25">
      <c r="B184" s="7"/>
      <c r="C184" s="2"/>
      <c r="D184" s="21"/>
      <c r="E184" s="21"/>
      <c r="F184" s="21"/>
      <c r="G184" s="21"/>
      <c r="H184" s="35"/>
      <c r="I184" s="2"/>
      <c r="J184" s="2"/>
      <c r="K184" s="2"/>
      <c r="L184" s="2"/>
      <c r="M184" s="2"/>
      <c r="N184" s="2"/>
      <c r="O184" s="10"/>
    </row>
    <row r="185" spans="2:15" x14ac:dyDescent="0.25">
      <c r="B185" s="7"/>
      <c r="C185" s="2"/>
      <c r="D185" s="21"/>
      <c r="E185" s="108" t="s">
        <v>23</v>
      </c>
      <c r="F185" s="108"/>
      <c r="G185" s="108"/>
      <c r="H185" s="108"/>
      <c r="I185" s="108"/>
      <c r="J185" s="108"/>
      <c r="K185" s="108"/>
      <c r="L185" s="108"/>
      <c r="M185" s="2"/>
      <c r="N185" s="2"/>
      <c r="O185" s="10"/>
    </row>
    <row r="186" spans="2:15" x14ac:dyDescent="0.25">
      <c r="B186" s="7"/>
      <c r="C186" s="2"/>
      <c r="D186" s="21"/>
      <c r="E186" s="21"/>
      <c r="F186" s="109" t="s">
        <v>1</v>
      </c>
      <c r="G186" s="109"/>
      <c r="H186" s="109"/>
      <c r="I186" s="109"/>
      <c r="J186" s="109"/>
      <c r="K186" s="109"/>
      <c r="L186" s="21"/>
      <c r="M186" s="2"/>
      <c r="N186" s="2"/>
      <c r="O186" s="10"/>
    </row>
    <row r="187" spans="2:15" x14ac:dyDescent="0.25">
      <c r="B187" s="7"/>
      <c r="C187" s="2"/>
      <c r="D187" s="21"/>
      <c r="E187" s="2"/>
      <c r="F187" s="112" t="s">
        <v>22</v>
      </c>
      <c r="G187" s="112"/>
      <c r="H187" s="50" t="s">
        <v>20</v>
      </c>
      <c r="I187" s="50" t="s">
        <v>3</v>
      </c>
      <c r="J187" s="50" t="s">
        <v>21</v>
      </c>
      <c r="K187" s="50" t="s">
        <v>18</v>
      </c>
      <c r="L187" s="21"/>
      <c r="M187" s="2"/>
      <c r="N187" s="2"/>
      <c r="O187" s="10"/>
    </row>
    <row r="188" spans="2:15" x14ac:dyDescent="0.25">
      <c r="B188" s="7"/>
      <c r="C188" s="2"/>
      <c r="D188" s="21"/>
      <c r="E188" s="2"/>
      <c r="F188" s="30" t="s">
        <v>102</v>
      </c>
      <c r="G188" s="29"/>
      <c r="H188" s="34">
        <v>120.00757299999999</v>
      </c>
      <c r="I188" s="32">
        <f>+H188/H$196</f>
        <v>0.42370024294497988</v>
      </c>
      <c r="J188" s="34">
        <v>94.445695999999998</v>
      </c>
      <c r="K188" s="32">
        <f>+J188/H188</f>
        <v>0.78699780054713719</v>
      </c>
      <c r="L188" s="21"/>
      <c r="M188" s="2"/>
      <c r="N188" s="2"/>
      <c r="O188" s="10"/>
    </row>
    <row r="189" spans="2:15" x14ac:dyDescent="0.25">
      <c r="B189" s="7"/>
      <c r="C189" s="2"/>
      <c r="D189" s="21"/>
      <c r="E189" s="2"/>
      <c r="F189" s="30" t="s">
        <v>110</v>
      </c>
      <c r="G189" s="29"/>
      <c r="H189" s="34">
        <v>29.748673</v>
      </c>
      <c r="I189" s="32">
        <f t="shared" ref="I189:I195" si="31">+H189/H$196</f>
        <v>0.1050310381444908</v>
      </c>
      <c r="J189" s="34">
        <v>14.563926</v>
      </c>
      <c r="K189" s="32">
        <f t="shared" ref="K189:K191" si="32">+J189/H189</f>
        <v>0.48956556818517588</v>
      </c>
      <c r="L189" s="21"/>
      <c r="M189" s="2"/>
      <c r="N189" s="2"/>
      <c r="O189" s="10"/>
    </row>
    <row r="190" spans="2:15" x14ac:dyDescent="0.25">
      <c r="B190" s="7"/>
      <c r="C190" s="2"/>
      <c r="D190" s="21"/>
      <c r="E190" s="2"/>
      <c r="F190" s="30" t="s">
        <v>111</v>
      </c>
      <c r="G190" s="29"/>
      <c r="H190" s="34">
        <v>29.084987000000002</v>
      </c>
      <c r="I190" s="32">
        <f t="shared" si="31"/>
        <v>0.1026878200257544</v>
      </c>
      <c r="J190" s="34">
        <v>19.037189000000001</v>
      </c>
      <c r="K190" s="32">
        <f t="shared" si="32"/>
        <v>0.65453661712140354</v>
      </c>
      <c r="L190" s="21"/>
      <c r="M190" s="2"/>
      <c r="N190" s="2"/>
      <c r="O190" s="10"/>
    </row>
    <row r="191" spans="2:15" x14ac:dyDescent="0.25">
      <c r="B191" s="7"/>
      <c r="C191" s="2"/>
      <c r="D191" s="21"/>
      <c r="E191" s="2"/>
      <c r="F191" s="30" t="s">
        <v>103</v>
      </c>
      <c r="G191" s="29"/>
      <c r="H191" s="34">
        <v>23.202646000000001</v>
      </c>
      <c r="I191" s="32">
        <f t="shared" si="31"/>
        <v>8.1919553086590352E-2</v>
      </c>
      <c r="J191" s="34">
        <v>17.018566</v>
      </c>
      <c r="K191" s="32">
        <f t="shared" si="32"/>
        <v>0.73347522519629871</v>
      </c>
      <c r="L191" s="21"/>
      <c r="M191" s="2"/>
      <c r="N191" s="2"/>
      <c r="O191" s="10"/>
    </row>
    <row r="192" spans="2:15" x14ac:dyDescent="0.25">
      <c r="B192" s="7"/>
      <c r="C192" s="2"/>
      <c r="D192" s="21"/>
      <c r="E192" s="2"/>
      <c r="F192" s="30" t="s">
        <v>106</v>
      </c>
      <c r="G192" s="29"/>
      <c r="H192" s="34">
        <v>19.807306000000001</v>
      </c>
      <c r="I192" s="32">
        <f t="shared" si="31"/>
        <v>6.9931923081933828E-2</v>
      </c>
      <c r="J192" s="34">
        <v>15.202859999999999</v>
      </c>
      <c r="K192" s="32">
        <f>+J192/H192</f>
        <v>0.76753799835272896</v>
      </c>
      <c r="L192" s="21"/>
      <c r="M192" s="2"/>
      <c r="N192" s="2"/>
      <c r="O192" s="10"/>
    </row>
    <row r="193" spans="2:15" x14ac:dyDescent="0.25">
      <c r="B193" s="7"/>
      <c r="C193" s="2"/>
      <c r="D193" s="21"/>
      <c r="E193" s="2"/>
      <c r="F193" s="30" t="s">
        <v>113</v>
      </c>
      <c r="G193" s="29"/>
      <c r="H193" s="34">
        <v>15.518693000000001</v>
      </c>
      <c r="I193" s="32">
        <f t="shared" si="31"/>
        <v>5.4790492215758407E-2</v>
      </c>
      <c r="J193" s="34">
        <v>11.297447999999999</v>
      </c>
      <c r="K193" s="32">
        <f t="shared" ref="K193:K196" si="33">+J193/H193</f>
        <v>0.72798965737642973</v>
      </c>
      <c r="L193" s="21"/>
      <c r="M193" s="2"/>
      <c r="N193" s="2"/>
      <c r="O193" s="10"/>
    </row>
    <row r="194" spans="2:15" x14ac:dyDescent="0.25">
      <c r="B194" s="7"/>
      <c r="C194" s="2"/>
      <c r="D194" s="21"/>
      <c r="E194" s="2"/>
      <c r="F194" s="30" t="s">
        <v>104</v>
      </c>
      <c r="G194" s="29"/>
      <c r="H194" s="34">
        <v>13.93092</v>
      </c>
      <c r="I194" s="32">
        <f t="shared" si="31"/>
        <v>4.9184680940485975E-2</v>
      </c>
      <c r="J194" s="34">
        <v>11.672966000000001</v>
      </c>
      <c r="K194" s="32">
        <f t="shared" si="33"/>
        <v>0.83791781160181811</v>
      </c>
      <c r="L194" s="21"/>
      <c r="M194" s="2"/>
      <c r="N194" s="2"/>
      <c r="O194" s="10"/>
    </row>
    <row r="195" spans="2:15" x14ac:dyDescent="0.25">
      <c r="B195" s="7"/>
      <c r="C195" s="2"/>
      <c r="D195" s="21"/>
      <c r="E195" s="2"/>
      <c r="F195" s="30" t="s">
        <v>62</v>
      </c>
      <c r="G195" s="29"/>
      <c r="H195" s="34">
        <v>31.936171999999999</v>
      </c>
      <c r="I195" s="32">
        <f t="shared" si="31"/>
        <v>0.11275424956000622</v>
      </c>
      <c r="J195" s="34">
        <v>23.235843000000003</v>
      </c>
      <c r="K195" s="32">
        <f t="shared" si="33"/>
        <v>0.72757132570553551</v>
      </c>
      <c r="L195" s="21"/>
      <c r="M195" s="2"/>
      <c r="N195" s="2"/>
      <c r="O195" s="10"/>
    </row>
    <row r="196" spans="2:15" x14ac:dyDescent="0.25">
      <c r="B196" s="7"/>
      <c r="C196" s="2"/>
      <c r="D196" s="21"/>
      <c r="E196" s="2"/>
      <c r="F196" s="40" t="s">
        <v>0</v>
      </c>
      <c r="G196" s="47"/>
      <c r="H196" s="42">
        <f>SUM(H188:H195)</f>
        <v>283.23697000000004</v>
      </c>
      <c r="I196" s="43">
        <f>SUM(I188:I195)</f>
        <v>0.99999999999999989</v>
      </c>
      <c r="J196" s="42">
        <f>SUM(J188:J195)</f>
        <v>206.47449399999999</v>
      </c>
      <c r="K196" s="43">
        <f t="shared" si="33"/>
        <v>0.72898143911086166</v>
      </c>
      <c r="L196" s="21"/>
      <c r="M196" s="2"/>
      <c r="N196" s="2"/>
      <c r="O196" s="10"/>
    </row>
    <row r="197" spans="2:15" x14ac:dyDescent="0.25">
      <c r="B197" s="7"/>
      <c r="C197" s="2"/>
      <c r="E197" s="21"/>
      <c r="F197" s="105" t="s">
        <v>101</v>
      </c>
      <c r="G197" s="105"/>
      <c r="H197" s="105"/>
      <c r="I197" s="105"/>
      <c r="J197" s="105"/>
      <c r="K197" s="105"/>
      <c r="L197" s="21"/>
      <c r="N197" s="2"/>
      <c r="O197" s="10"/>
    </row>
    <row r="198" spans="2:15" x14ac:dyDescent="0.25">
      <c r="B198" s="7"/>
      <c r="C198" s="2"/>
      <c r="D198" s="21"/>
      <c r="E198" s="21"/>
      <c r="F198" s="36"/>
      <c r="G198" s="36"/>
      <c r="H198" s="21"/>
      <c r="I198" s="21"/>
      <c r="J198" s="21"/>
      <c r="K198" s="21"/>
      <c r="L198" s="21"/>
      <c r="M198" s="2"/>
      <c r="N198" s="2"/>
      <c r="O198" s="10"/>
    </row>
    <row r="199" spans="2:15" ht="15" customHeight="1" x14ac:dyDescent="0.25">
      <c r="B199" s="7"/>
      <c r="C199" s="123" t="str">
        <f>+CONCATENATE("Al 19 de diciembre figuran ",J205," proyectos que no cuentan con ningún avance en ejecución del gasto, mientras que ",J206," (",FIXED(K206*100,1),"% de proyectos) no superan el 50,0% de ejecución, ",J207," proyectos (",FIXED(K207*100,1),"%) tienen un nivel de ejecución mayor al 50,0% pero no culminan y solo ",J208," proyectos por S/ ",FIXED(I208,1)," millones se han ejecutado al 100,0%.")</f>
        <v>Al 19 de diciembre figuran 111 proyectos que no cuentan con ningún avance en ejecución del gasto, mientras que 63 (10.8% de proyectos) no superan el 50,0% de ejecución, 345 proyectos (59.4%) tienen un nivel de ejecución mayor al 50,0% pero no culminan y solo 62 proyectos por S/ 1.1 millones se han ejecutado al 100,0%.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0"/>
    </row>
    <row r="200" spans="2:15" x14ac:dyDescent="0.25">
      <c r="B200" s="7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0"/>
    </row>
    <row r="201" spans="2:15" x14ac:dyDescent="0.25"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0"/>
    </row>
    <row r="202" spans="2:15" x14ac:dyDescent="0.25">
      <c r="B202" s="7"/>
      <c r="C202" s="2"/>
      <c r="D202" s="2"/>
      <c r="E202" s="108" t="s">
        <v>35</v>
      </c>
      <c r="F202" s="108"/>
      <c r="G202" s="108"/>
      <c r="H202" s="108"/>
      <c r="I202" s="108"/>
      <c r="J202" s="108"/>
      <c r="K202" s="108"/>
      <c r="L202" s="108"/>
      <c r="M202" s="2"/>
      <c r="N202" s="2"/>
      <c r="O202" s="10"/>
    </row>
    <row r="203" spans="2:15" x14ac:dyDescent="0.25">
      <c r="B203" s="7"/>
      <c r="C203" s="2"/>
      <c r="D203" s="2"/>
      <c r="E203" s="21"/>
      <c r="F203" s="109" t="s">
        <v>36</v>
      </c>
      <c r="G203" s="109"/>
      <c r="H203" s="109"/>
      <c r="I203" s="109"/>
      <c r="J203" s="109"/>
      <c r="K203" s="109"/>
      <c r="L203" s="21"/>
      <c r="M203" s="2"/>
      <c r="N203" s="2"/>
      <c r="O203" s="10"/>
    </row>
    <row r="204" spans="2:15" x14ac:dyDescent="0.25">
      <c r="B204" s="7"/>
      <c r="C204" s="2"/>
      <c r="D204" s="2"/>
      <c r="E204" s="2"/>
      <c r="F204" s="49" t="s">
        <v>27</v>
      </c>
      <c r="G204" s="50" t="s">
        <v>18</v>
      </c>
      <c r="H204" s="50" t="s">
        <v>20</v>
      </c>
      <c r="I204" s="50" t="s">
        <v>7</v>
      </c>
      <c r="J204" s="50" t="s">
        <v>26</v>
      </c>
      <c r="K204" s="50" t="s">
        <v>3</v>
      </c>
      <c r="L204" s="2"/>
      <c r="M204" s="2"/>
      <c r="N204" s="2"/>
      <c r="O204" s="10"/>
    </row>
    <row r="205" spans="2:15" x14ac:dyDescent="0.25">
      <c r="B205" s="7"/>
      <c r="C205" s="2"/>
      <c r="D205" s="2"/>
      <c r="E205" s="2"/>
      <c r="F205" s="44" t="s">
        <v>28</v>
      </c>
      <c r="G205" s="32">
        <f>+I205/H205</f>
        <v>0</v>
      </c>
      <c r="H205" s="34">
        <v>12.585621</v>
      </c>
      <c r="I205" s="34">
        <v>0</v>
      </c>
      <c r="J205" s="44">
        <v>111</v>
      </c>
      <c r="K205" s="32">
        <f>+J205/J$209</f>
        <v>0.19104991394148021</v>
      </c>
      <c r="L205" s="2"/>
      <c r="M205" s="2"/>
      <c r="N205" s="2"/>
      <c r="O205" s="10"/>
    </row>
    <row r="206" spans="2:15" x14ac:dyDescent="0.25">
      <c r="B206" s="7"/>
      <c r="C206" s="2"/>
      <c r="D206" s="2"/>
      <c r="E206" s="2"/>
      <c r="F206" s="44" t="s">
        <v>29</v>
      </c>
      <c r="G206" s="32">
        <f t="shared" ref="G206:G209" si="34">+I206/H206</f>
        <v>0.29972824044406826</v>
      </c>
      <c r="H206" s="34">
        <v>48.59921099999999</v>
      </c>
      <c r="I206" s="34">
        <v>14.566556000000004</v>
      </c>
      <c r="J206" s="44">
        <v>63</v>
      </c>
      <c r="K206" s="32">
        <f t="shared" ref="K206:K208" si="35">+J206/J$209</f>
        <v>0.10843373493975904</v>
      </c>
      <c r="L206" s="2"/>
      <c r="M206" s="2"/>
      <c r="N206" s="2"/>
      <c r="O206" s="10"/>
    </row>
    <row r="207" spans="2:15" x14ac:dyDescent="0.25">
      <c r="B207" s="7"/>
      <c r="C207" s="2"/>
      <c r="D207" s="2"/>
      <c r="E207" s="2"/>
      <c r="F207" s="44" t="s">
        <v>30</v>
      </c>
      <c r="G207" s="32">
        <f t="shared" si="34"/>
        <v>0.8635907668748819</v>
      </c>
      <c r="H207" s="34">
        <v>220.98359700000003</v>
      </c>
      <c r="I207" s="34">
        <v>190.83939399999988</v>
      </c>
      <c r="J207" s="44">
        <v>345</v>
      </c>
      <c r="K207" s="32">
        <f t="shared" si="35"/>
        <v>0.59380378657487087</v>
      </c>
      <c r="L207" s="2"/>
      <c r="M207" s="2"/>
      <c r="N207" s="2"/>
      <c r="O207" s="10"/>
    </row>
    <row r="208" spans="2:15" x14ac:dyDescent="0.25">
      <c r="B208" s="7"/>
      <c r="C208" s="2"/>
      <c r="D208" s="2"/>
      <c r="E208" s="2"/>
      <c r="F208" s="44" t="s">
        <v>31</v>
      </c>
      <c r="G208" s="32">
        <f t="shared" si="34"/>
        <v>1</v>
      </c>
      <c r="H208" s="34">
        <v>1.068541</v>
      </c>
      <c r="I208" s="34">
        <v>1.068541</v>
      </c>
      <c r="J208" s="44">
        <v>62</v>
      </c>
      <c r="K208" s="32">
        <f t="shared" si="35"/>
        <v>0.10671256454388985</v>
      </c>
      <c r="L208" s="2"/>
      <c r="M208" s="2"/>
      <c r="N208" s="2"/>
      <c r="O208" s="10"/>
    </row>
    <row r="209" spans="2:15" x14ac:dyDescent="0.25">
      <c r="B209" s="7"/>
      <c r="C209" s="2"/>
      <c r="D209" s="2"/>
      <c r="E209" s="2"/>
      <c r="F209" s="48" t="s">
        <v>0</v>
      </c>
      <c r="G209" s="43">
        <f t="shared" si="34"/>
        <v>0.72898142851902381</v>
      </c>
      <c r="H209" s="42">
        <f t="shared" ref="H209:J209" si="36">SUM(H205:H208)</f>
        <v>283.23696999999999</v>
      </c>
      <c r="I209" s="42">
        <f t="shared" si="36"/>
        <v>206.47449099999989</v>
      </c>
      <c r="J209" s="45">
        <f t="shared" si="36"/>
        <v>581</v>
      </c>
      <c r="K209" s="43">
        <f>SUM(K205:K208)</f>
        <v>1</v>
      </c>
      <c r="L209" s="2"/>
      <c r="M209" s="2"/>
      <c r="N209" s="2"/>
      <c r="O209" s="10"/>
    </row>
    <row r="210" spans="2:15" x14ac:dyDescent="0.25">
      <c r="B210" s="7"/>
      <c r="C210" s="2"/>
      <c r="E210" s="21"/>
      <c r="F210" s="105" t="s">
        <v>97</v>
      </c>
      <c r="G210" s="105"/>
      <c r="H210" s="105"/>
      <c r="I210" s="105"/>
      <c r="J210" s="105"/>
      <c r="K210" s="105"/>
      <c r="L210" s="21"/>
      <c r="N210" s="2"/>
      <c r="O210" s="10"/>
    </row>
    <row r="211" spans="2:15" x14ac:dyDescent="0.25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0"/>
    </row>
    <row r="212" spans="2:15" x14ac:dyDescent="0.25"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</row>
  </sheetData>
  <mergeCells count="68">
    <mergeCell ref="E14:F15"/>
    <mergeCell ref="G14:I14"/>
    <mergeCell ref="J14:L14"/>
    <mergeCell ref="B1:O2"/>
    <mergeCell ref="C7:N7"/>
    <mergeCell ref="C9:N10"/>
    <mergeCell ref="E12:L12"/>
    <mergeCell ref="E13:L13"/>
    <mergeCell ref="C52:N53"/>
    <mergeCell ref="E20:L20"/>
    <mergeCell ref="C22:N23"/>
    <mergeCell ref="E25:L25"/>
    <mergeCell ref="F26:K26"/>
    <mergeCell ref="F27:G27"/>
    <mergeCell ref="F33:K33"/>
    <mergeCell ref="C35:N36"/>
    <mergeCell ref="E38:L38"/>
    <mergeCell ref="F39:K39"/>
    <mergeCell ref="F40:G40"/>
    <mergeCell ref="F50:K50"/>
    <mergeCell ref="F88:K88"/>
    <mergeCell ref="E55:L55"/>
    <mergeCell ref="F56:K56"/>
    <mergeCell ref="F63:K63"/>
    <mergeCell ref="C69:N69"/>
    <mergeCell ref="C71:N72"/>
    <mergeCell ref="E74:L74"/>
    <mergeCell ref="F75:K75"/>
    <mergeCell ref="F76:G76"/>
    <mergeCell ref="F82:K82"/>
    <mergeCell ref="C84:N85"/>
    <mergeCell ref="E87:L87"/>
    <mergeCell ref="F131:K131"/>
    <mergeCell ref="F89:G89"/>
    <mergeCell ref="F99:K99"/>
    <mergeCell ref="C101:N102"/>
    <mergeCell ref="E104:L104"/>
    <mergeCell ref="F105:K105"/>
    <mergeCell ref="F112:K112"/>
    <mergeCell ref="C118:N118"/>
    <mergeCell ref="C120:N121"/>
    <mergeCell ref="E123:L123"/>
    <mergeCell ref="F124:K124"/>
    <mergeCell ref="F125:G125"/>
    <mergeCell ref="E172:L172"/>
    <mergeCell ref="C133:N134"/>
    <mergeCell ref="E136:L136"/>
    <mergeCell ref="F137:K137"/>
    <mergeCell ref="F138:G138"/>
    <mergeCell ref="F148:K148"/>
    <mergeCell ref="C150:N151"/>
    <mergeCell ref="E153:L153"/>
    <mergeCell ref="F154:K154"/>
    <mergeCell ref="F161:K161"/>
    <mergeCell ref="C167:N167"/>
    <mergeCell ref="C169:N170"/>
    <mergeCell ref="F210:K210"/>
    <mergeCell ref="F173:K173"/>
    <mergeCell ref="F174:G174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</mergeCells>
  <conditionalFormatting sqref="I81">
    <cfRule type="cellIs" dxfId="1" priority="2" operator="equal">
      <formula>0</formula>
    </cfRule>
  </conditionalFormatting>
  <conditionalFormatting sqref="I101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2. Sur</vt:lpstr>
      <vt:lpstr>3. Arequipa</vt:lpstr>
      <vt:lpstr>4. Cusco</vt:lpstr>
      <vt:lpstr>5. Madre de Dios</vt:lpstr>
      <vt:lpstr>6. Moquegua</vt:lpstr>
      <vt:lpstr>7. Puno</vt:lpstr>
      <vt:lpstr>8. 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2017-01-02T22:53:44Z</dcterms:modified>
</cp:coreProperties>
</file>